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C:\Users\BBrouillard.PURECYCLE\Desktop\"/>
    </mc:Choice>
  </mc:AlternateContent>
  <xr:revisionPtr revIDLastSave="0" documentId="13_ncr:1_{48F9DF83-0E40-4611-BB61-8122DA1F18C8}" xr6:coauthVersionLast="47" xr6:coauthVersionMax="47" xr10:uidLastSave="{00000000-0000-0000-0000-000000000000}"/>
  <workbookProtection workbookAlgorithmName="SHA-512" workbookHashValue="lDxL5lflXAfPmPK06siPYHrgktNuJej01QsZ+gblnXHLwlIYL5i8tsclhAZhOPkkp55KjLaRAuimqWj6riDNMg==" workbookSaltValue="l6ShhIvF0UPJAQLw1cgr7g==" workbookSpinCount="100000" lockStructure="1"/>
  <bookViews>
    <workbookView xWindow="-120" yWindow="-120" windowWidth="38640" windowHeight="15840" firstSheet="1" activeTab="1" xr2:uid="{00000000-000D-0000-FFFF-FFFF00000000}"/>
  </bookViews>
  <sheets>
    <sheet name="Domestic Water Services Page" sheetId="1" state="hidden" r:id="rId1"/>
    <sheet name="Agreement" sheetId="13" r:id="rId2"/>
    <sheet name="Tap Calculator" sheetId="2" r:id="rId3"/>
    <sheet name="Other Areas Page" sheetId="3" state="hidden" r:id="rId4"/>
    <sheet name="SDC Approach" sheetId="4" state="hidden" r:id="rId5"/>
    <sheet name="Monthly Cost Compare" sheetId="5" state="hidden" r:id="rId6"/>
    <sheet name="Tap Fee Cost Compare" sheetId="6" state="hidden" r:id="rId7"/>
  </sheets>
  <definedNames>
    <definedName name="_xlnm.Print_Area" localSheetId="1">Agreement!$C$1:$Q$61</definedName>
    <definedName name="_xlnm.Print_Area" localSheetId="4">'SDC Approach'!$B$1:$X$37</definedName>
    <definedName name="_xlnm.Print_Area" localSheetId="2">'Tap Calculator'!$B$1:$T$95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0" i="2" l="1"/>
  <c r="I47" i="2" l="1"/>
  <c r="E79" i="2"/>
  <c r="P79" i="2" s="1"/>
  <c r="G79" i="2"/>
  <c r="O79" i="2" s="1"/>
  <c r="M79" i="2" l="1"/>
  <c r="L79" i="2"/>
  <c r="J79" i="2"/>
  <c r="I79" i="2"/>
  <c r="H79" i="2"/>
  <c r="N79" i="2" s="1"/>
  <c r="E80" i="2" l="1"/>
  <c r="K79" i="2"/>
  <c r="F79" i="2"/>
  <c r="E5" i="2" l="1"/>
  <c r="E4" i="2"/>
  <c r="I29" i="13" l="1"/>
  <c r="O26" i="2" l="1"/>
  <c r="O28" i="2" s="1"/>
  <c r="P120" i="2"/>
  <c r="P121" i="2" s="1"/>
  <c r="E121" i="2"/>
  <c r="J121" i="2" s="1"/>
  <c r="AI118" i="2" s="1"/>
  <c r="AJ118" i="2" s="1"/>
  <c r="P125" i="2"/>
  <c r="V122" i="2" s="1"/>
  <c r="C29" i="6"/>
  <c r="C33" i="6" s="1"/>
  <c r="J104" i="2" s="1"/>
  <c r="C17" i="6"/>
  <c r="C18" i="6" s="1"/>
  <c r="C22" i="6" s="1"/>
  <c r="J103" i="2" s="1"/>
  <c r="C8" i="6"/>
  <c r="C10" i="6" s="1"/>
  <c r="J102" i="2" s="1"/>
  <c r="E53" i="5"/>
  <c r="E68" i="5"/>
  <c r="E69" i="5"/>
  <c r="H64" i="5" s="1"/>
  <c r="I64" i="5" s="1"/>
  <c r="J64" i="5" s="1"/>
  <c r="K64" i="5" s="1"/>
  <c r="L64" i="5" s="1"/>
  <c r="M64" i="5" s="1"/>
  <c r="N64" i="5" s="1"/>
  <c r="O64" i="5" s="1"/>
  <c r="P64" i="5" s="1"/>
  <c r="Q64" i="5" s="1"/>
  <c r="R64" i="5" s="1"/>
  <c r="S64" i="5" s="1"/>
  <c r="E22" i="5"/>
  <c r="E23" i="5" s="1"/>
  <c r="H17" i="5" s="1"/>
  <c r="I17" i="5" s="1"/>
  <c r="J17" i="5" s="1"/>
  <c r="K17" i="5" s="1"/>
  <c r="L17" i="5" s="1"/>
  <c r="M17" i="5" s="1"/>
  <c r="N17" i="5" s="1"/>
  <c r="O17" i="5" s="1"/>
  <c r="P17" i="5" s="1"/>
  <c r="Q17" i="5" s="1"/>
  <c r="R17" i="5" s="1"/>
  <c r="S17" i="5" s="1"/>
  <c r="E45" i="5"/>
  <c r="E42" i="5"/>
  <c r="I16" i="5"/>
  <c r="J16" i="5"/>
  <c r="K16" i="5"/>
  <c r="L16" i="5"/>
  <c r="M16" i="5"/>
  <c r="N16" i="5"/>
  <c r="O16" i="5"/>
  <c r="P16" i="5"/>
  <c r="Q16" i="5"/>
  <c r="R16" i="5"/>
  <c r="S16" i="5"/>
  <c r="H16" i="5"/>
  <c r="E5" i="5"/>
  <c r="F15" i="4"/>
  <c r="F18" i="4"/>
  <c r="S13" i="4"/>
  <c r="S9" i="4"/>
  <c r="U16" i="4"/>
  <c r="F21" i="4"/>
  <c r="J120" i="2"/>
  <c r="F120" i="2"/>
  <c r="G120" i="2" s="1"/>
  <c r="I13" i="4" l="1"/>
  <c r="J13" i="4" s="1"/>
  <c r="E46" i="5"/>
  <c r="H41" i="5" s="1"/>
  <c r="I41" i="5" s="1"/>
  <c r="J41" i="5" s="1"/>
  <c r="K41" i="5" s="1"/>
  <c r="L41" i="5" s="1"/>
  <c r="M41" i="5" s="1"/>
  <c r="N41" i="5" s="1"/>
  <c r="O41" i="5" s="1"/>
  <c r="P41" i="5" s="1"/>
  <c r="Q41" i="5" s="1"/>
  <c r="R41" i="5" s="1"/>
  <c r="S41" i="5" s="1"/>
  <c r="J105" i="2"/>
  <c r="E122" i="2"/>
  <c r="Q120" i="2"/>
  <c r="R120" i="2" s="1"/>
  <c r="S120" i="2" s="1"/>
  <c r="Q121" i="2"/>
  <c r="R121" i="2" s="1"/>
  <c r="S121" i="2" s="1"/>
  <c r="M9" i="4"/>
  <c r="V120" i="2"/>
  <c r="V126" i="2"/>
  <c r="S22" i="4"/>
  <c r="F121" i="2"/>
  <c r="G121" i="2" s="1"/>
  <c r="J122" i="2" l="1"/>
  <c r="F122" i="2"/>
  <c r="G122" i="2" s="1"/>
  <c r="R122" i="2"/>
  <c r="W123" i="2" s="1"/>
  <c r="K47" i="2" s="1"/>
  <c r="L47" i="2" s="1"/>
  <c r="I28" i="13" s="1"/>
  <c r="S122" i="2"/>
  <c r="V121" i="2" s="1"/>
  <c r="V123" i="2" s="1"/>
  <c r="Z120" i="2" s="1"/>
  <c r="N41" i="2" s="1"/>
  <c r="O18" i="2"/>
  <c r="I9" i="4"/>
  <c r="M23" i="4"/>
  <c r="Q22" i="4" s="1"/>
  <c r="U22" i="4" s="1"/>
  <c r="M13" i="4"/>
  <c r="M18" i="4" s="1"/>
  <c r="Q13" i="4" s="1"/>
  <c r="U13" i="4" s="1"/>
  <c r="N9" i="4"/>
  <c r="N13" i="4" s="1"/>
  <c r="I32" i="13" l="1"/>
  <c r="N33" i="2"/>
  <c r="AR120" i="2" s="1"/>
  <c r="J9" i="4"/>
  <c r="J17" i="4" s="1"/>
  <c r="I17" i="4"/>
  <c r="AN118" i="2"/>
  <c r="N37" i="2"/>
  <c r="D43" i="4"/>
  <c r="Q9" i="4"/>
  <c r="U9" i="4" s="1"/>
  <c r="U18" i="4" s="1"/>
  <c r="U24" i="4" s="1"/>
  <c r="J106" i="2" l="1"/>
  <c r="N38" i="2"/>
  <c r="N40" i="2" s="1"/>
  <c r="AV120" i="2"/>
  <c r="P58" i="5" s="1"/>
  <c r="AS120" i="2"/>
  <c r="M58" i="5" s="1"/>
  <c r="AP120" i="2"/>
  <c r="J58" i="5" s="1"/>
  <c r="AQ120" i="2"/>
  <c r="K58" i="5" s="1"/>
  <c r="AO120" i="2"/>
  <c r="I58" i="5" s="1"/>
  <c r="AN120" i="2"/>
  <c r="H58" i="5" s="1"/>
  <c r="AT120" i="2"/>
  <c r="N58" i="5" s="1"/>
  <c r="AW120" i="2"/>
  <c r="Q58" i="5" s="1"/>
  <c r="AY120" i="2"/>
  <c r="S58" i="5" s="1"/>
  <c r="AU120" i="2"/>
  <c r="O58" i="5" s="1"/>
  <c r="AX120" i="2"/>
  <c r="R58" i="5" s="1"/>
  <c r="H57" i="5"/>
  <c r="AO118" i="2"/>
  <c r="L58" i="5"/>
  <c r="AN121" i="2" l="1"/>
  <c r="AN122" i="2" s="1"/>
  <c r="I57" i="5"/>
  <c r="AP118" i="2"/>
  <c r="AO121" i="2"/>
  <c r="AN123" i="2" l="1"/>
  <c r="AN124" i="2" s="1"/>
  <c r="AO122" i="2"/>
  <c r="AQ118" i="2"/>
  <c r="J57" i="5"/>
  <c r="AP121" i="2"/>
  <c r="AR118" i="2" l="1"/>
  <c r="K57" i="5"/>
  <c r="AQ121" i="2"/>
  <c r="AN125" i="2"/>
  <c r="AO123" i="2"/>
  <c r="AO124" i="2" s="1"/>
  <c r="AP122" i="2" l="1"/>
  <c r="AO125" i="2"/>
  <c r="AN126" i="2"/>
  <c r="AS118" i="2"/>
  <c r="L57" i="5"/>
  <c r="AR121" i="2"/>
  <c r="AQ122" i="2"/>
  <c r="AO126" i="2" l="1"/>
  <c r="I59" i="5" s="1"/>
  <c r="I62" i="5" s="1"/>
  <c r="AR122" i="2"/>
  <c r="AT118" i="2"/>
  <c r="M57" i="5"/>
  <c r="AS121" i="2"/>
  <c r="H34" i="5"/>
  <c r="H59" i="5"/>
  <c r="H62" i="5" s="1"/>
  <c r="H9" i="5"/>
  <c r="AQ123" i="2"/>
  <c r="AQ124" i="2" s="1"/>
  <c r="AP123" i="2"/>
  <c r="AP124" i="2" s="1"/>
  <c r="I34" i="5" l="1"/>
  <c r="I35" i="5" s="1"/>
  <c r="I36" i="5" s="1"/>
  <c r="I9" i="5"/>
  <c r="I10" i="5" s="1"/>
  <c r="I11" i="5" s="1"/>
  <c r="H35" i="5"/>
  <c r="H36" i="5" s="1"/>
  <c r="AQ125" i="2"/>
  <c r="AP125" i="2"/>
  <c r="AP126" i="2" s="1"/>
  <c r="AS122" i="2"/>
  <c r="H10" i="5"/>
  <c r="N57" i="5"/>
  <c r="AU118" i="2"/>
  <c r="AT121" i="2"/>
  <c r="AR123" i="2"/>
  <c r="AR124" i="2" s="1"/>
  <c r="J34" i="5" l="1"/>
  <c r="J9" i="5"/>
  <c r="J59" i="5"/>
  <c r="J62" i="5" s="1"/>
  <c r="AV118" i="2"/>
  <c r="O57" i="5"/>
  <c r="AU121" i="2"/>
  <c r="I12" i="5"/>
  <c r="I13" i="5" s="1"/>
  <c r="H11" i="5"/>
  <c r="H12" i="5" s="1"/>
  <c r="AR125" i="2"/>
  <c r="H37" i="5"/>
  <c r="I37" i="5"/>
  <c r="I60" i="5" s="1"/>
  <c r="I39" i="5"/>
  <c r="AT122" i="2"/>
  <c r="AS123" i="2"/>
  <c r="AS124" i="2" s="1"/>
  <c r="H39" i="5"/>
  <c r="AQ126" i="2"/>
  <c r="AR126" i="2" l="1"/>
  <c r="L9" i="5" s="1"/>
  <c r="I15" i="5"/>
  <c r="I18" i="5" s="1"/>
  <c r="J35" i="5"/>
  <c r="J36" i="5" s="1"/>
  <c r="J37" i="5" s="1"/>
  <c r="J60" i="5" s="1"/>
  <c r="H60" i="5"/>
  <c r="AS125" i="2"/>
  <c r="AW118" i="2"/>
  <c r="P57" i="5"/>
  <c r="AV121" i="2"/>
  <c r="K34" i="5"/>
  <c r="K9" i="5"/>
  <c r="K59" i="5"/>
  <c r="K62" i="5" s="1"/>
  <c r="AT123" i="2"/>
  <c r="AT124" i="2" s="1"/>
  <c r="H13" i="5"/>
  <c r="H15" i="5" s="1"/>
  <c r="H18" i="5" s="1"/>
  <c r="J10" i="5"/>
  <c r="L34" i="5" l="1"/>
  <c r="L35" i="5" s="1"/>
  <c r="L36" i="5" s="1"/>
  <c r="L59" i="5"/>
  <c r="L62" i="5" s="1"/>
  <c r="AT125" i="2"/>
  <c r="AS126" i="2"/>
  <c r="M34" i="5" s="1"/>
  <c r="J39" i="5"/>
  <c r="AU122" i="2"/>
  <c r="J11" i="5"/>
  <c r="J12" i="5" s="1"/>
  <c r="K35" i="5"/>
  <c r="Q57" i="5"/>
  <c r="AX118" i="2"/>
  <c r="AW121" i="2"/>
  <c r="L10" i="5"/>
  <c r="K10" i="5"/>
  <c r="AT126" i="2" l="1"/>
  <c r="N59" i="5" s="1"/>
  <c r="N62" i="5" s="1"/>
  <c r="M9" i="5"/>
  <c r="M10" i="5" s="1"/>
  <c r="M59" i="5"/>
  <c r="M62" i="5" s="1"/>
  <c r="J13" i="5"/>
  <c r="J15" i="5" s="1"/>
  <c r="J18" i="5" s="1"/>
  <c r="L37" i="5"/>
  <c r="L60" i="5" s="1"/>
  <c r="K36" i="5"/>
  <c r="K37" i="5" s="1"/>
  <c r="K60" i="5" s="1"/>
  <c r="K11" i="5"/>
  <c r="AW122" i="2"/>
  <c r="L39" i="5"/>
  <c r="AY118" i="2"/>
  <c r="R57" i="5"/>
  <c r="AX121" i="2"/>
  <c r="L11" i="5"/>
  <c r="L12" i="5" s="1"/>
  <c r="AV122" i="2"/>
  <c r="M35" i="5"/>
  <c r="M36" i="5" s="1"/>
  <c r="AU123" i="2"/>
  <c r="N34" i="5" l="1"/>
  <c r="N35" i="5" s="1"/>
  <c r="N36" i="5" s="1"/>
  <c r="N9" i="5"/>
  <c r="N10" i="5" s="1"/>
  <c r="N11" i="5" s="1"/>
  <c r="AW123" i="2"/>
  <c r="AW124" i="2" s="1"/>
  <c r="M11" i="5"/>
  <c r="M12" i="5" s="1"/>
  <c r="S57" i="5"/>
  <c r="AY121" i="2"/>
  <c r="K39" i="5"/>
  <c r="M37" i="5"/>
  <c r="M60" i="5" s="1"/>
  <c r="AX122" i="2"/>
  <c r="K12" i="5"/>
  <c r="AV123" i="2"/>
  <c r="AU124" i="2"/>
  <c r="AU125" i="2" s="1"/>
  <c r="L13" i="5"/>
  <c r="L15" i="5" s="1"/>
  <c r="L18" i="5" s="1"/>
  <c r="M39" i="5"/>
  <c r="N12" i="5" l="1"/>
  <c r="N13" i="5" s="1"/>
  <c r="AW125" i="2"/>
  <c r="AW126" i="2" s="1"/>
  <c r="Q59" i="5" s="1"/>
  <c r="Q62" i="5" s="1"/>
  <c r="M13" i="5"/>
  <c r="M15" i="5" s="1"/>
  <c r="M18" i="5" s="1"/>
  <c r="AV124" i="2"/>
  <c r="N39" i="5"/>
  <c r="AU126" i="2"/>
  <c r="K13" i="5"/>
  <c r="K15" i="5" s="1"/>
  <c r="K18" i="5" s="1"/>
  <c r="AX123" i="2"/>
  <c r="N37" i="5"/>
  <c r="N60" i="5" s="1"/>
  <c r="N15" i="5" l="1"/>
  <c r="N18" i="5" s="1"/>
  <c r="Q34" i="5"/>
  <c r="Q35" i="5" s="1"/>
  <c r="Q36" i="5" s="1"/>
  <c r="Q9" i="5"/>
  <c r="Q10" i="5" s="1"/>
  <c r="O9" i="5"/>
  <c r="O59" i="5"/>
  <c r="O62" i="5" s="1"/>
  <c r="O34" i="5"/>
  <c r="AX124" i="2"/>
  <c r="AY122" i="2"/>
  <c r="AV125" i="2"/>
  <c r="Q37" i="5" l="1"/>
  <c r="Q60" i="5" s="1"/>
  <c r="Q11" i="5"/>
  <c r="Q12" i="5" s="1"/>
  <c r="Q39" i="5"/>
  <c r="O35" i="5"/>
  <c r="O36" i="5" s="1"/>
  <c r="O37" i="5" s="1"/>
  <c r="O60" i="5" s="1"/>
  <c r="AX125" i="2"/>
  <c r="AY123" i="2"/>
  <c r="O10" i="5"/>
  <c r="O11" i="5" s="1"/>
  <c r="AV126" i="2"/>
  <c r="O12" i="5" l="1"/>
  <c r="O13" i="5" s="1"/>
  <c r="Q13" i="5"/>
  <c r="Q15" i="5" s="1"/>
  <c r="Q18" i="5" s="1"/>
  <c r="O39" i="5"/>
  <c r="AX126" i="2"/>
  <c r="P9" i="5"/>
  <c r="P34" i="5"/>
  <c r="P59" i="5"/>
  <c r="P62" i="5" s="1"/>
  <c r="AY124" i="2"/>
  <c r="AY125" i="2" s="1"/>
  <c r="P35" i="5" l="1"/>
  <c r="P36" i="5" s="1"/>
  <c r="P39" i="5" s="1"/>
  <c r="R59" i="5"/>
  <c r="R62" i="5" s="1"/>
  <c r="R9" i="5"/>
  <c r="R34" i="5"/>
  <c r="O15" i="5"/>
  <c r="O18" i="5" s="1"/>
  <c r="P10" i="5"/>
  <c r="AY126" i="2"/>
  <c r="S59" i="5" l="1"/>
  <c r="S62" i="5" s="1"/>
  <c r="AN128" i="2"/>
  <c r="S34" i="5"/>
  <c r="S9" i="5"/>
  <c r="P11" i="5"/>
  <c r="R10" i="5"/>
  <c r="R11" i="5" s="1"/>
  <c r="P37" i="5"/>
  <c r="P60" i="5" s="1"/>
  <c r="R35" i="5"/>
  <c r="R36" i="5" s="1"/>
  <c r="R39" i="5" l="1"/>
  <c r="R37" i="5"/>
  <c r="R60" i="5" s="1"/>
  <c r="P12" i="5"/>
  <c r="S35" i="5"/>
  <c r="S36" i="5" s="1"/>
  <c r="S39" i="5" s="1"/>
  <c r="K81" i="2"/>
  <c r="L81" i="2"/>
  <c r="H81" i="2"/>
  <c r="J81" i="2"/>
  <c r="P81" i="2"/>
  <c r="G81" i="2"/>
  <c r="E81" i="2"/>
  <c r="I81" i="2"/>
  <c r="O81" i="2"/>
  <c r="N81" i="2"/>
  <c r="M81" i="2"/>
  <c r="F81" i="2"/>
  <c r="R12" i="5"/>
  <c r="R13" i="5" s="1"/>
  <c r="S10" i="5"/>
  <c r="S11" i="5" s="1"/>
  <c r="R15" i="5" l="1"/>
  <c r="R18" i="5" s="1"/>
  <c r="S37" i="5"/>
  <c r="S12" i="5"/>
  <c r="S13" i="5" s="1"/>
  <c r="P13" i="5"/>
  <c r="P15" i="5" s="1"/>
  <c r="P18" i="5" s="1"/>
  <c r="J83" i="2"/>
  <c r="S15" i="5" l="1"/>
  <c r="S18" i="5" s="1"/>
  <c r="T18" i="5" s="1"/>
  <c r="J96" i="2" s="1"/>
  <c r="S60" i="5"/>
  <c r="H40" i="5"/>
  <c r="H42" i="5" l="1"/>
  <c r="I40" i="5"/>
  <c r="H63" i="5"/>
  <c r="E57" i="5"/>
  <c r="I63" i="5" l="1"/>
  <c r="H65" i="5"/>
  <c r="J40" i="5"/>
  <c r="I42" i="5"/>
  <c r="H75" i="5" l="1"/>
  <c r="J42" i="5"/>
  <c r="K40" i="5"/>
  <c r="J63" i="5"/>
  <c r="I65" i="5"/>
  <c r="I75" i="5" s="1"/>
  <c r="J65" i="5" l="1"/>
  <c r="J75" i="5" s="1"/>
  <c r="K63" i="5"/>
  <c r="K42" i="5"/>
  <c r="L40" i="5"/>
  <c r="L42" i="5" l="1"/>
  <c r="M40" i="5"/>
  <c r="L63" i="5"/>
  <c r="K65" i="5"/>
  <c r="K75" i="5" l="1"/>
  <c r="M63" i="5"/>
  <c r="L65" i="5"/>
  <c r="L75" i="5" s="1"/>
  <c r="N40" i="5"/>
  <c r="M42" i="5"/>
  <c r="N63" i="5" l="1"/>
  <c r="M65" i="5"/>
  <c r="N42" i="5"/>
  <c r="O40" i="5"/>
  <c r="P40" i="5" l="1"/>
  <c r="O42" i="5"/>
  <c r="M75" i="5"/>
  <c r="N65" i="5"/>
  <c r="N75" i="5" s="1"/>
  <c r="O63" i="5"/>
  <c r="P63" i="5" l="1"/>
  <c r="O65" i="5"/>
  <c r="Q40" i="5"/>
  <c r="P42" i="5"/>
  <c r="Q42" i="5" l="1"/>
  <c r="R40" i="5"/>
  <c r="O75" i="5"/>
  <c r="Q63" i="5"/>
  <c r="P65" i="5"/>
  <c r="P75" i="5" s="1"/>
  <c r="R42" i="5" l="1"/>
  <c r="S40" i="5"/>
  <c r="S42" i="5" s="1"/>
  <c r="R63" i="5"/>
  <c r="Q65" i="5"/>
  <c r="Q75" i="5" s="1"/>
  <c r="T42" i="5" l="1"/>
  <c r="J97" i="2" s="1"/>
  <c r="R65" i="5"/>
  <c r="R75" i="5" s="1"/>
  <c r="S63" i="5"/>
  <c r="S65" i="5" s="1"/>
  <c r="S75" i="5" l="1"/>
  <c r="T75" i="5" s="1"/>
  <c r="T65" i="5"/>
  <c r="J98" i="2" s="1"/>
  <c r="J99" i="2" s="1"/>
  <c r="J10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Klint</author>
  </authors>
  <commentList>
    <comment ref="P120" authorId="0" shapeId="0" xr:uid="{00000000-0006-0000-0300-000001000000}">
      <text>
        <r>
          <rPr>
            <b/>
            <sz val="9"/>
            <color indexed="81"/>
            <rFont val="Tahoma"/>
            <family val="2"/>
          </rPr>
          <t>Klint:</t>
        </r>
        <r>
          <rPr>
            <sz val="9"/>
            <color indexed="81"/>
            <rFont val="Tahoma"/>
            <family val="2"/>
          </rPr>
          <t xml:space="preserve">
2.9 feet per year irrigtion</t>
        </r>
      </text>
    </comment>
  </commentList>
</comments>
</file>

<file path=xl/sharedStrings.xml><?xml version="1.0" encoding="utf-8"?>
<sst xmlns="http://schemas.openxmlformats.org/spreadsheetml/2006/main" count="430" uniqueCount="297">
  <si>
    <t>Sky Ranch Single Family Residence Water Budget &amp; One Time Connection Fees (Tap Fees)</t>
  </si>
  <si>
    <t>Calculated Indoor Water Use Budget (Gallons Per Year):</t>
  </si>
  <si>
    <t>Answer Questions 3 - 4 Which Are Used to Estimate Potentially Available Landscape Area</t>
  </si>
  <si>
    <t>Calculated Roof, Driveway, Walkway Areas (Square Feet):</t>
  </si>
  <si>
    <t>Calculated Remaining Area Potentially Available for Landscaping (Square Fee):</t>
  </si>
  <si>
    <t>Calculated Landscape Water Use Budget (Gallons Per Year):</t>
  </si>
  <si>
    <t>Summary of Water Use Budgets</t>
  </si>
  <si>
    <t>Indoor Water Use Budget (Gallons Per Year)</t>
  </si>
  <si>
    <t>Landscape Water Use Budget (Gallons Per Year</t>
  </si>
  <si>
    <t>Request for Additional Miscellaneous Water Use Budget (Gallons Per Year)</t>
  </si>
  <si>
    <t>Total Water Budget (Gallons Per Year)</t>
  </si>
  <si>
    <t>Single Family Equivalent (SFE)  = Allocated Budget / Budget of Typical Single Family Unit</t>
  </si>
  <si>
    <r>
      <t xml:space="preserve">Single Family Residence </t>
    </r>
    <r>
      <rPr>
        <u/>
        <sz val="14"/>
        <rFont val="Calibri"/>
        <family val="2"/>
        <scheme val="minor"/>
      </rPr>
      <t>Water</t>
    </r>
    <r>
      <rPr>
        <sz val="14"/>
        <rFont val="Calibri"/>
        <family val="2"/>
        <scheme val="minor"/>
      </rPr>
      <t xml:space="preserve"> Service Tap Fee</t>
    </r>
  </si>
  <si>
    <t>SFE</t>
  </si>
  <si>
    <t>Tier 1</t>
  </si>
  <si>
    <t>Tier 2</t>
  </si>
  <si>
    <t>Tier 3</t>
  </si>
  <si>
    <t>Tier 4</t>
  </si>
  <si>
    <t>Total Charge
$/Tap</t>
  </si>
  <si>
    <r>
      <t xml:space="preserve">Single Family Residence </t>
    </r>
    <r>
      <rPr>
        <u/>
        <sz val="14"/>
        <rFont val="Calibri"/>
        <family val="2"/>
        <scheme val="minor"/>
      </rPr>
      <t>Wastewater</t>
    </r>
    <r>
      <rPr>
        <sz val="14"/>
        <rFont val="Calibri"/>
        <family val="2"/>
        <scheme val="minor"/>
      </rPr>
      <t xml:space="preserve"> Service Tap Fee</t>
    </r>
  </si>
  <si>
    <t>Sky Ranch Single Family Residence Water &amp; Wastewater Monthly Service Rates</t>
  </si>
  <si>
    <t>Water Rates</t>
  </si>
  <si>
    <t/>
  </si>
  <si>
    <t>Wastewater Rates</t>
  </si>
  <si>
    <t>Monthly Administrative Charge:</t>
  </si>
  <si>
    <t>Wastewater Use Rate:</t>
  </si>
  <si>
    <t>per kgal</t>
  </si>
  <si>
    <t>Sky Ranch Single Family Residence Example Monthly / Annual Service Costs</t>
  </si>
  <si>
    <t>Hypothetical water use as a percentage of the household water budget =</t>
  </si>
  <si>
    <t>Jan</t>
  </si>
  <si>
    <t>Feb</t>
  </si>
  <si>
    <t>Mar</t>
  </si>
  <si>
    <t>Apr</t>
  </si>
  <si>
    <t>May</t>
  </si>
  <si>
    <t>Jun</t>
  </si>
  <si>
    <t>Jul</t>
  </si>
  <si>
    <t>Aug</t>
  </si>
  <si>
    <t>Sep</t>
  </si>
  <si>
    <t>Oct</t>
  </si>
  <si>
    <t>Nov</t>
  </si>
  <si>
    <t>Dec</t>
  </si>
  <si>
    <t>Water Charge</t>
  </si>
  <si>
    <t>Wastewater Charge</t>
  </si>
  <si>
    <t>Total Charge</t>
  </si>
  <si>
    <t>Total Annual Cost of Service:</t>
  </si>
  <si>
    <t>Notes:</t>
  </si>
  <si>
    <t>(1) Includes water rights, raw water pipelines, reservoirs, groundwater wells, etc</t>
  </si>
  <si>
    <t>(2) Includes water treatment plants, transmission pipelines, and finished water operational storage</t>
  </si>
  <si>
    <t>(3) Includes cost for fire flow storage and pipeline oversizing to achieve required fire flow.</t>
  </si>
  <si>
    <t>Tier 1 = 1,500 gpm and 2 hours of fire flow storage. Typical Tier 1 structure is single-family home with less than 3,600 square feet.</t>
  </si>
  <si>
    <t>Tier 2 = 2,000 gpm and 2 hours of fire flow storage. Typical Tier 2 structure is multi-family complex or commercial space with less then 25,000 square feet.</t>
  </si>
  <si>
    <t>Tier 3 = 2,500 gpm and 3 hours of fire flow storage. Typical Tier 3 structure is a commercial facility with more than 25,500 feet and less than 106,500 square feet.</t>
  </si>
  <si>
    <t>Tier 4 = 3,000 gpm and  4 hours of fire flow storage. Typical Tier 4 structure is a commercial facility with more than 106,500 square feet.</t>
  </si>
  <si>
    <t>ECCV Annual Cost of Service:</t>
  </si>
  <si>
    <t>PWSD Annual Cost of Service:</t>
  </si>
  <si>
    <t>TCR Annual Cost of Service:</t>
  </si>
  <si>
    <t>Average</t>
  </si>
  <si>
    <t>RMD % of Average:</t>
  </si>
  <si>
    <t>ECCV Water and Wastewater Tap Fee Cost:</t>
  </si>
  <si>
    <t>PWSD Water and Wastewater Tap Fee Cost:</t>
  </si>
  <si>
    <t>TCR Water and Wastewater Tap Fee Cost:</t>
  </si>
  <si>
    <t>Assumed Average</t>
  </si>
  <si>
    <t>Indoor Water Budget Lookup Table</t>
  </si>
  <si>
    <t>Indoor Water Use</t>
  </si>
  <si>
    <t>Garage + Driveway Area</t>
  </si>
  <si>
    <t>Outdoor Water Use Rates</t>
  </si>
  <si>
    <t>Water Use Used in Tap Fee Charges</t>
  </si>
  <si>
    <t>Single Family Equivalent</t>
  </si>
  <si>
    <t>Water Resources &amp; System Charges</t>
  </si>
  <si>
    <t>Fire Protection Charges</t>
  </si>
  <si>
    <t>Sewer Charge</t>
  </si>
  <si>
    <t>Indoor  Use</t>
  </si>
  <si>
    <t>Indoor</t>
  </si>
  <si>
    <t>Assumed Avg</t>
  </si>
  <si>
    <t>Water Resources</t>
  </si>
  <si>
    <t>Water System</t>
  </si>
  <si>
    <t>Tier</t>
  </si>
  <si>
    <t>Charge</t>
  </si>
  <si>
    <t>$/SFE</t>
  </si>
  <si>
    <t>gpd/SFE</t>
  </si>
  <si>
    <t>$/gpd</t>
  </si>
  <si>
    <t>Finished</t>
  </si>
  <si>
    <t>#</t>
  </si>
  <si>
    <t>Per Person</t>
  </si>
  <si>
    <t>Budget</t>
  </si>
  <si>
    <t>Indoor Use</t>
  </si>
  <si>
    <t>gpd/1000 SF</t>
  </si>
  <si>
    <t>Areas</t>
  </si>
  <si>
    <t>Demand</t>
  </si>
  <si>
    <t>Max Day</t>
  </si>
  <si>
    <t>Indoor Budget (1000 gal)</t>
  </si>
  <si>
    <t>Square Ft</t>
  </si>
  <si>
    <t>Residents</t>
  </si>
  <si>
    <t>(gal/day)</t>
  </si>
  <si>
    <t>(gal/yr)</t>
  </si>
  <si>
    <t># Car Slots</t>
  </si>
  <si>
    <t>Landscape Type</t>
  </si>
  <si>
    <t>Usage</t>
  </si>
  <si>
    <t>gpy</t>
  </si>
  <si>
    <t>AFY</t>
  </si>
  <si>
    <t>Water Use Category</t>
  </si>
  <si>
    <t>gpm</t>
  </si>
  <si>
    <t>(AFY)</t>
  </si>
  <si>
    <t>Ratio</t>
  </si>
  <si>
    <t>$/AF</t>
  </si>
  <si>
    <t>$/gpm</t>
  </si>
  <si>
    <t>Outdoor Budget (%)</t>
  </si>
  <si>
    <t>Grass Landscape</t>
  </si>
  <si>
    <t xml:space="preserve">Avg Indoor Use </t>
  </si>
  <si>
    <t>Outdoor Budget (1000 gal)</t>
  </si>
  <si>
    <t>Xeriscape Landscape</t>
  </si>
  <si>
    <t>Base Outdoor Use</t>
  </si>
  <si>
    <t>Total Budget (1000 gal)</t>
  </si>
  <si>
    <t>Requested Additional Budget</t>
  </si>
  <si>
    <t>Tier 1 Actual Use</t>
  </si>
  <si>
    <t>Total Avg Use</t>
  </si>
  <si>
    <t>Tier 2 Actual Use</t>
  </si>
  <si>
    <t>Tier 3 Actual Use</t>
  </si>
  <si>
    <t>Unit Conversion:</t>
  </si>
  <si>
    <t>Gallons in 1 Acre-Ft</t>
  </si>
  <si>
    <t>Tier 4 Actual Use</t>
  </si>
  <si>
    <t>Total Use</t>
  </si>
  <si>
    <t>Average Winter Use</t>
  </si>
  <si>
    <t>TABLE A4: SYSTEM DEVELOPMENT FEE CALCULATION PROCESS (with example) USING WATER BUDGET METHODOLOGY</t>
  </si>
  <si>
    <t>Version: March 12, 2017</t>
  </si>
  <si>
    <t>Step 1: Complete Questionnaire</t>
  </si>
  <si>
    <t>Step 2: Calculate Water Budgets</t>
  </si>
  <si>
    <t>Step 3: Calculate Typical Water Use</t>
  </si>
  <si>
    <t>Step 4: Calculate System Development Charges</t>
  </si>
  <si>
    <t>&amp; System Capacity Needs</t>
  </si>
  <si>
    <t>1a: Indoor Water Use Information</t>
  </si>
  <si>
    <t>2a: Indoor Annual Budget</t>
  </si>
  <si>
    <t>3a: Long-Term Avg. Indoor Water Use</t>
  </si>
  <si>
    <t>4a: Water Resources Charge</t>
  </si>
  <si>
    <t xml:space="preserve"> - Size of Lot</t>
  </si>
  <si>
    <t>gpy(2)</t>
  </si>
  <si>
    <t>afy(3)</t>
  </si>
  <si>
    <t>gpy(5)</t>
  </si>
  <si>
    <t>afy</t>
  </si>
  <si>
    <t>Total Annual Water Use (afy) X Water Resources Cost ($/afy)</t>
  </si>
  <si>
    <t xml:space="preserve"> - Finished Square Feet of Dwelling</t>
  </si>
  <si>
    <t>X</t>
  </si>
  <si>
    <t>=</t>
  </si>
  <si>
    <t>1b: Outdoor Water Use Information</t>
  </si>
  <si>
    <t>2b: Outdoor Annual Budget</t>
  </si>
  <si>
    <t>3b: Long-Term Avg. Total Water Use</t>
  </si>
  <si>
    <t>4b: Water System Charge</t>
  </si>
  <si>
    <t xml:space="preserve"> - Finished Square Feet of 1st Floor</t>
  </si>
  <si>
    <t>gpy(4)</t>
  </si>
  <si>
    <t>Max Day Capacity Need (gpm) X Water System Cost ($/gpm)</t>
  </si>
  <si>
    <t xml:space="preserve"> - Number of Garage Stalls</t>
  </si>
  <si>
    <t>Calculated Landscape Area(1)</t>
  </si>
  <si>
    <t>2c: Total Annual Budget</t>
  </si>
  <si>
    <t>3c: Water System Capacity Needs</t>
  </si>
  <si>
    <t xml:space="preserve">4c: Fire Flow Capacity </t>
  </si>
  <si>
    <t xml:space="preserve"> - % Landscape Area Non-Irrigated</t>
  </si>
  <si>
    <t>Fire Flow</t>
  </si>
  <si>
    <t xml:space="preserve"> - % Landscape Area Drip Irrigation</t>
  </si>
  <si>
    <t>gpm (6)</t>
  </si>
  <si>
    <t>gpm (7)</t>
  </si>
  <si>
    <t xml:space="preserve"> - % Landscape Area Grass</t>
  </si>
  <si>
    <t>4d: Total Water Development Charges</t>
  </si>
  <si>
    <t>1c: Fire Flow Capacity Information</t>
  </si>
  <si>
    <t>3d: Wastewater System Capacity Needs</t>
  </si>
  <si>
    <t>4e: Wastewater System Charge</t>
  </si>
  <si>
    <t xml:space="preserve"> - Total Square Feet of Dwelling</t>
  </si>
  <si>
    <t>Long-Term Avg Indoor Water Use</t>
  </si>
  <si>
    <t>Indoor Water Use (gpd) X Wastewater System Cost ($/gpd)</t>
  </si>
  <si>
    <t>gpd (8)</t>
  </si>
  <si>
    <t>4f: Total System Development Charge</t>
  </si>
  <si>
    <t>(1) Considers Total Lot Area - 1st Floor Square Footage - 680 square feet for two car stalls or 1040 square feet for three car stalls.</t>
  </si>
  <si>
    <t>(2) gpy = gallons per year. Indoor water budget assumes 55 gallons per resident and 3, 4, or 5 residents per dwelling for dwellings with finished areas</t>
  </si>
  <si>
    <t xml:space="preserve">      of less than 2000 sf, greater than 2000 sf and less than 3500 sf, and greater than 3500 sf (respectively). </t>
  </si>
  <si>
    <t>(3) afy = acre-feet per year, where 325,893 gallons equals 1 afy</t>
  </si>
  <si>
    <t>(4) Assumes 60 gallons per day per 1000 square feet for grass and 20 gallons per day per 1000 square feet of drip.</t>
  </si>
  <si>
    <t>(5) Long-Term average actual indoor water use assumes 2.5, 3.2, or 3.75 residents per dwelling for dwellings with finished areas</t>
  </si>
  <si>
    <t xml:space="preserve">       of less than 2000 sf, greater than 2000 sf and less than 3500 sf, and greater than 3500 sf (respectively). </t>
  </si>
  <si>
    <t>(6) gpm = gallons per minute. Max day gpm = Total Annual Budget (gpy) / 366 days per year / 1440 minutes per day x 2.25 Max Day Factor.</t>
  </si>
  <si>
    <t>(7) Tier 1 Fire Flow is between 1,000 gpm and 1,500 gpm and if for dwelling units with less than 3,800 total square feet. Tier 2, 3 4 fire flows are vary based on dwelling size and construction material.</t>
  </si>
  <si>
    <t>(8) gpd = gallons per day. Average Indoor gpd = gpy/366 days</t>
  </si>
  <si>
    <t>(9) A typical single family residential unit is assumed to utilize 0.4 afy of total water, have a max day flow rate of 0.55 gpm, and an indoor average water use of 176 gpd.</t>
  </si>
  <si>
    <t xml:space="preserve">(10) Monthly distribution of the annual indoor water budget is 8.3% per month.  </t>
  </si>
  <si>
    <t>(11) Monthly distribution of the annual outdoor water budget is: 1% for March, 7% for April, 14% for May, 20% for June, 18% for August, 12% for September, 7% for October, 1% for November</t>
  </si>
  <si>
    <t>ECCV Fixed Monthly Water Rates</t>
  </si>
  <si>
    <t>Rate</t>
  </si>
  <si>
    <t>Fees</t>
  </si>
  <si>
    <t>$/kgal</t>
  </si>
  <si>
    <t>gallons</t>
  </si>
  <si>
    <t>Total</t>
  </si>
  <si>
    <t>Tier 1 Actual Use (kgal)</t>
  </si>
  <si>
    <t>Tier 2 Actual Use (kgal)</t>
  </si>
  <si>
    <t>Tier 3 Actual Use (kgal)</t>
  </si>
  <si>
    <t>Tier 4 Actual Use (kgal)</t>
  </si>
  <si>
    <t>Tier 5</t>
  </si>
  <si>
    <t>Tier 5 Actual Use (kgal)</t>
  </si>
  <si>
    <t>Monthly Water Charges</t>
  </si>
  <si>
    <t>Monthy Wastewater Charge</t>
  </si>
  <si>
    <t>Wastewater Charge $/kgal</t>
  </si>
  <si>
    <t>W/WW Property Tax</t>
  </si>
  <si>
    <t>ECCV Mills (property tax)*:</t>
  </si>
  <si>
    <t>Typical Value of ECCV Home**:</t>
  </si>
  <si>
    <t>Assessment Percentage in Douglas County**:</t>
  </si>
  <si>
    <t>Typical Assessed Value**:</t>
  </si>
  <si>
    <t>Property Tax toECCV:</t>
  </si>
  <si>
    <t>*http://parcelsearch.arapahoegov.com/Levy.aspx?id=1248528&amp;auth=0479</t>
  </si>
  <si>
    <t>**https://www.zillow.com/homes/for_sale/13115614_zpid/globalrelevanceex_sort/39.636266,-104.740605,39.583763,-104.795537_rect/13_zm/</t>
  </si>
  <si>
    <t>PWSD Fixed Monthly Water Rates</t>
  </si>
  <si>
    <t>Tota Use</t>
  </si>
  <si>
    <t>PWSD Mills (property tax)*:</t>
  </si>
  <si>
    <t>Typical Value of PWSD Home**:</t>
  </si>
  <si>
    <t>Assessment Percentage in Douglas County*:</t>
  </si>
  <si>
    <t>Tpical Assessed Value:</t>
  </si>
  <si>
    <t>Property Tax to PWSD:</t>
  </si>
  <si>
    <t>*www.parkeronline.org/257/Property-Tax</t>
  </si>
  <si>
    <t>**https://www.zillow.com/homes/Castle-Rock-CO_rb/</t>
  </si>
  <si>
    <t>TCR Fixed Monthly Water Rates</t>
  </si>
  <si>
    <t>Block 1</t>
  </si>
  <si>
    <t>Block 1 Actual Use (kgal)</t>
  </si>
  <si>
    <t>Block 2</t>
  </si>
  <si>
    <t>Irrigation Budget</t>
  </si>
  <si>
    <t>Block 2 Actual Use (kgal)</t>
  </si>
  <si>
    <t>Block 3</t>
  </si>
  <si>
    <t>Over Budget</t>
  </si>
  <si>
    <t>Block 3 Actual Use (kgal)</t>
  </si>
  <si>
    <t>TCR Mills to Water (property tax)*:</t>
  </si>
  <si>
    <t>Typical Value of TCR Home**:</t>
  </si>
  <si>
    <t>Typical Assessed Value:</t>
  </si>
  <si>
    <t>Property Tax to TCR:</t>
  </si>
  <si>
    <t>*http://apps.douglas.co.us/assessor/web/#/details/2017/R0390550</t>
  </si>
  <si>
    <t>ECCV,PWSD, TCR Average:</t>
  </si>
  <si>
    <t>ECCV</t>
  </si>
  <si>
    <t>Water Flat Fee for Single Family:</t>
  </si>
  <si>
    <t>Local Sewer Fee:</t>
  </si>
  <si>
    <t>Metro Wastewater Sewer Fee:</t>
  </si>
  <si>
    <t>Total Sewer:</t>
  </si>
  <si>
    <t>ECCV Total Tap Fee:</t>
  </si>
  <si>
    <t>PWSD</t>
  </si>
  <si>
    <t>Drinking Water System Fee:</t>
  </si>
  <si>
    <t>Water Supply System Fee:</t>
  </si>
  <si>
    <t>Water Supply Acquistion Fee:</t>
  </si>
  <si>
    <t>Other Fees:</t>
  </si>
  <si>
    <t>Sewer Tap Fee:</t>
  </si>
  <si>
    <t>PWSD Total Tap Fee:</t>
  </si>
  <si>
    <t>TCR</t>
  </si>
  <si>
    <t>Water Resources Fee:</t>
  </si>
  <si>
    <t>TCR Total Tap Fee:</t>
  </si>
  <si>
    <t>TAP CALCULATOR</t>
  </si>
  <si>
    <t>Date:</t>
  </si>
  <si>
    <t>Property Address:</t>
  </si>
  <si>
    <t>Property Owner or Agent's Phone Number:</t>
  </si>
  <si>
    <t>Property Owner or Agent's Email Address:</t>
  </si>
  <si>
    <t>Property Owner or Agent's Name:</t>
  </si>
  <si>
    <r>
      <rPr>
        <b/>
        <sz val="11"/>
        <color theme="1"/>
        <rFont val="Calibri"/>
        <family val="2"/>
        <scheme val="minor"/>
      </rPr>
      <t>Input 1</t>
    </r>
    <r>
      <rPr>
        <sz val="11"/>
        <color theme="1"/>
        <rFont val="Calibri"/>
        <family val="2"/>
        <scheme val="minor"/>
      </rPr>
      <t>: Enter Lot Size Including Irrigated Right-of Way Space (Square Feet):</t>
    </r>
  </si>
  <si>
    <t>Water &amp; Wastewater "Tap" Purchase Agreement</t>
  </si>
  <si>
    <t>Assessor's Parcel Number:</t>
  </si>
  <si>
    <t>From Submitted Application &amp; Tap Calculator</t>
  </si>
  <si>
    <t>Wastewater Tap Fee:</t>
  </si>
  <si>
    <t>Total Water &amp; Wastewater Tap Fees:</t>
  </si>
  <si>
    <t xml:space="preserve">Please review the tap fees listed above and the anticipated water and wastewater monthly service rates shown in </t>
  </si>
  <si>
    <t xml:space="preserve">the attached tap calculator. By signing below, the Owner or the Owner's Agent acknowledges the tap fees and </t>
  </si>
  <si>
    <t>anticipated monthly service rates associated with obtaining water and sewer service at the above listed property.</t>
  </si>
  <si>
    <t>Property Owner or Agent's Signature:</t>
  </si>
  <si>
    <t>Please pay the Total Water &amp; Wastewater Tap Fee by check addressed to Rangeview Metropolitan District and</t>
  </si>
  <si>
    <t>write the property address in the check memo.</t>
  </si>
  <si>
    <t>Meter Set Fee:</t>
  </si>
  <si>
    <t>Service Line Inspection Fee:</t>
  </si>
  <si>
    <t xml:space="preserve">Monthly Base Charge: </t>
  </si>
  <si>
    <t>Water Use Rate:</t>
  </si>
  <si>
    <t>See table below</t>
  </si>
  <si>
    <t>Monthly Potable Water Use Rates</t>
  </si>
  <si>
    <t>Fee/Charge</t>
  </si>
  <si>
    <t>Amount</t>
  </si>
  <si>
    <t>0 - 15,000 gallons</t>
  </si>
  <si>
    <t>per 1000 gallons</t>
  </si>
  <si>
    <t>&gt;30,000 gallons</t>
  </si>
  <si>
    <t>15,000 - 30,000 gallons</t>
  </si>
  <si>
    <t>Potable Water Use (1000 gallons)</t>
  </si>
  <si>
    <t xml:space="preserve"> and average landscaping plans. However, heavy watering of landscaping or extended use of indoor plumbing fixtures (such as showers) could result </t>
  </si>
  <si>
    <t>actual water use.</t>
  </si>
  <si>
    <t>in a household using more water than the amount shown. To test the sensitivity of monthly and annual service costs please enter different assumptions for</t>
  </si>
  <si>
    <t>The water budget provided below is an estimate of the possible water use and the associated costs for a lot in Sky Ranch based on average water use</t>
  </si>
  <si>
    <t>Single Family Attached Residence Water Budget Questionnaire</t>
  </si>
  <si>
    <r>
      <rPr>
        <b/>
        <sz val="11"/>
        <color theme="1"/>
        <rFont val="Calibri"/>
        <family val="2"/>
        <scheme val="minor"/>
      </rPr>
      <t>Input 4</t>
    </r>
    <r>
      <rPr>
        <sz val="11"/>
        <color theme="1"/>
        <rFont val="Calibri"/>
        <family val="2"/>
        <scheme val="minor"/>
      </rPr>
      <t>: Enter Garage Stalls Area (Square Feet):</t>
    </r>
  </si>
  <si>
    <r>
      <t xml:space="preserve">Input 2: </t>
    </r>
    <r>
      <rPr>
        <sz val="11"/>
        <color theme="1"/>
        <rFont val="Calibri"/>
        <family val="2"/>
        <scheme val="minor"/>
      </rPr>
      <t>Enter 1st Floor Finished Area (Square Feet):</t>
    </r>
  </si>
  <si>
    <r>
      <rPr>
        <b/>
        <sz val="11"/>
        <color theme="1"/>
        <rFont val="Calibri"/>
        <family val="2"/>
        <scheme val="minor"/>
      </rPr>
      <t>Input 3</t>
    </r>
    <r>
      <rPr>
        <sz val="11"/>
        <color theme="1"/>
        <rFont val="Calibri"/>
        <family val="2"/>
        <scheme val="minor"/>
      </rPr>
      <t>: Enter Driveway Area (Square Feet):</t>
    </r>
  </si>
  <si>
    <r>
      <t xml:space="preserve">Calculated Landscape Area </t>
    </r>
    <r>
      <rPr>
        <sz val="11"/>
        <color theme="1"/>
        <rFont val="Calibri"/>
        <family val="2"/>
        <scheme val="minor"/>
      </rPr>
      <t>(Square Feet):</t>
    </r>
  </si>
  <si>
    <t>Outdoor Use</t>
  </si>
  <si>
    <r>
      <t>Landscaped Area (ft</t>
    </r>
    <r>
      <rPr>
        <vertAlign val="superscript"/>
        <sz val="11"/>
        <color theme="1"/>
        <rFont val="Calibri"/>
        <family val="2"/>
        <scheme val="minor"/>
      </rPr>
      <t>2</t>
    </r>
    <r>
      <rPr>
        <sz val="11"/>
        <color theme="1"/>
        <rFont val="Calibri"/>
        <family val="2"/>
        <scheme val="minor"/>
      </rPr>
      <t>)</t>
    </r>
  </si>
  <si>
    <r>
      <t>Unit Cost
($/ft</t>
    </r>
    <r>
      <rPr>
        <vertAlign val="superscript"/>
        <sz val="11"/>
        <color theme="1"/>
        <rFont val="Calibri"/>
        <family val="2"/>
        <scheme val="minor"/>
      </rPr>
      <t>2</t>
    </r>
    <r>
      <rPr>
        <sz val="11"/>
        <color theme="1"/>
        <rFont val="Calibri"/>
        <family val="2"/>
        <scheme val="minor"/>
      </rPr>
      <t xml:space="preserve">) </t>
    </r>
  </si>
  <si>
    <t xml:space="preserve">Cost
</t>
  </si>
  <si>
    <t>Water Tap Fee:</t>
  </si>
  <si>
    <t xml:space="preserve">Calculated Water &amp; Wastewater Tap Fees </t>
  </si>
  <si>
    <t xml:space="preserve">           Attached Single-Family Residential Product</t>
  </si>
  <si>
    <t>NOT USED FOR ATTACHED PRODUCTS</t>
  </si>
  <si>
    <t>Sky Ranch Filing # :</t>
  </si>
  <si>
    <t xml:space="preserve">Fixed Cost per Unit                                </t>
  </si>
  <si>
    <t>1977-03-3-XX-XXX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</si>
</sst>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0.000"/>
    <numFmt numFmtId="166" formatCode="&quot;$&quot;#,##0"/>
    <numFmt numFmtId="167" formatCode="&quot;$&quot;#,##0.00"/>
    <numFmt numFmtId="168" formatCode="&quot;$&quot;#.00&quot; per 1000 gallons&quot;"/>
    <numFmt numFmtId="169" formatCode="General&quot; sf&quot;"/>
    <numFmt numFmtId="170" formatCode="&quot;(&quot;0.00&quot; afy)&quot;"/>
    <numFmt numFmtId="171" formatCode="&quot;(&quot;&quot;$&quot;#,##0.00_)&quot;/afy)&quot;"/>
    <numFmt numFmtId="172" formatCode="&quot;(&quot;0.00&quot; gpm)&quot;"/>
    <numFmt numFmtId="173" formatCode="&quot;(&quot;&quot;$&quot;#,##0.00_)&quot;/gpm)&quot;"/>
    <numFmt numFmtId="174" formatCode="&quot;at &quot;&quot;$&quot;#,##0.00_)"/>
    <numFmt numFmtId="175" formatCode="&quot;(&quot;0.00&quot; gpd)&quot;"/>
    <numFmt numFmtId="176" formatCode="General&quot; -&quot;"/>
    <numFmt numFmtId="177" formatCode="General&quot; +&quot;"/>
    <numFmt numFmtId="178" formatCode="0.0%"/>
    <numFmt numFmtId="179" formatCode="_(* #,##0_);_(* \(#,##0\);_(* &quot;-&quot;??_);_(@_)"/>
    <numFmt numFmtId="180" formatCode="_(&quot;$&quot;* #,##0_);_(&quot;$&quot;* \(#,##0\);_(&quot;$&quot;* &quot;-&quot;??_);_(@_)"/>
  </numFmts>
  <fonts count="20" x14ac:knownFonts="1">
    <font>
      <sz val="11"/>
      <color theme="1"/>
      <name val="Calibri"/>
      <family val="2"/>
      <scheme val="minor"/>
    </font>
    <font>
      <sz val="14"/>
      <name val="Calibri"/>
      <family val="2"/>
      <scheme val="minor"/>
    </font>
    <font>
      <sz val="11"/>
      <color theme="1"/>
      <name val="Calibri"/>
      <family val="2"/>
      <scheme val="minor"/>
    </font>
    <font>
      <sz val="9"/>
      <color indexed="81"/>
      <name val="Tahoma"/>
      <family val="2"/>
    </font>
    <font>
      <b/>
      <sz val="9"/>
      <color indexed="81"/>
      <name val="Tahoma"/>
      <family val="2"/>
    </font>
    <font>
      <sz val="11"/>
      <name val="Calibri"/>
      <family val="2"/>
      <scheme val="minor"/>
    </font>
    <font>
      <u/>
      <sz val="11"/>
      <color theme="1"/>
      <name val="Calibri"/>
      <family val="2"/>
      <scheme val="minor"/>
    </font>
    <font>
      <b/>
      <sz val="11"/>
      <color theme="1"/>
      <name val="Calibri"/>
      <family val="2"/>
      <scheme val="minor"/>
    </font>
    <font>
      <u/>
      <sz val="14"/>
      <name val="Calibri"/>
      <family val="2"/>
      <scheme val="minor"/>
    </font>
    <font>
      <b/>
      <sz val="11"/>
      <color theme="0"/>
      <name val="Calibri"/>
      <family val="2"/>
      <scheme val="minor"/>
    </font>
    <font>
      <b/>
      <sz val="20"/>
      <color theme="4"/>
      <name val="Calibri"/>
      <family val="2"/>
      <scheme val="minor"/>
    </font>
    <font>
      <b/>
      <sz val="20"/>
      <name val="Calibri"/>
      <family val="2"/>
      <scheme val="minor"/>
    </font>
    <font>
      <sz val="16"/>
      <color theme="1"/>
      <name val="Calibri"/>
      <family val="2"/>
      <scheme val="minor"/>
    </font>
    <font>
      <sz val="16"/>
      <name val="Calibri"/>
      <family val="2"/>
      <scheme val="minor"/>
    </font>
    <font>
      <sz val="14"/>
      <color theme="1"/>
      <name val="Calibri"/>
      <family val="2"/>
      <scheme val="minor"/>
    </font>
    <font>
      <b/>
      <sz val="14"/>
      <color theme="0"/>
      <name val="Calibri"/>
      <family val="2"/>
      <scheme val="minor"/>
    </font>
    <font>
      <u/>
      <sz val="14"/>
      <color theme="1"/>
      <name val="Calibri"/>
      <family val="2"/>
      <scheme val="minor"/>
    </font>
    <font>
      <b/>
      <sz val="14"/>
      <color theme="1"/>
      <name val="Calibri"/>
      <family val="2"/>
      <scheme val="minor"/>
    </font>
    <font>
      <b/>
      <sz val="12"/>
      <color theme="1"/>
      <name val="Calibri"/>
      <family val="2"/>
      <scheme val="minor"/>
    </font>
    <font>
      <vertAlign val="superscript"/>
      <sz val="11"/>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FFFF00"/>
        <bgColor indexed="64"/>
      </patternFill>
    </fill>
  </fills>
  <borders count="6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auto="1"/>
      </bottom>
      <diagonal/>
    </border>
    <border>
      <left/>
      <right/>
      <top/>
      <bottom style="medium">
        <color auto="1"/>
      </bottom>
      <diagonal/>
    </border>
    <border>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
      <left/>
      <right/>
      <top style="medium">
        <color theme="0"/>
      </top>
      <bottom style="medium">
        <color theme="0"/>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indexed="64"/>
      </top>
      <bottom style="thin">
        <color theme="0"/>
      </bottom>
      <diagonal/>
    </border>
    <border>
      <left/>
      <right style="thin">
        <color theme="0"/>
      </right>
      <top style="thin">
        <color theme="0"/>
      </top>
      <bottom/>
      <diagonal/>
    </border>
    <border>
      <left/>
      <right/>
      <top style="thin">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thin">
        <color theme="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theme="0"/>
      </left>
      <right/>
      <top/>
      <bottom style="thin">
        <color theme="0"/>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
      <left/>
      <right style="thin">
        <color theme="0"/>
      </right>
      <top/>
      <bottom style="thin">
        <color theme="0"/>
      </bottom>
      <diagonal/>
    </border>
    <border>
      <left style="thin">
        <color auto="1"/>
      </left>
      <right/>
      <top style="thin">
        <color auto="1"/>
      </top>
      <bottom style="thin">
        <color auto="1"/>
      </bottom>
      <diagonal/>
    </border>
    <border>
      <left style="thin">
        <color theme="0"/>
      </left>
      <right/>
      <top/>
      <bottom/>
      <diagonal/>
    </border>
    <border>
      <left/>
      <right/>
      <top/>
      <bottom style="thin">
        <color theme="0"/>
      </bottom>
      <diagonal/>
    </border>
    <border>
      <left/>
      <right/>
      <top style="thin">
        <color auto="1"/>
      </top>
      <bottom/>
      <diagonal/>
    </border>
    <border>
      <left/>
      <right/>
      <top/>
      <bottom style="double">
        <color auto="1"/>
      </bottom>
      <diagonal/>
    </border>
    <border>
      <left style="medium">
        <color theme="0"/>
      </left>
      <right/>
      <top style="medium">
        <color theme="0"/>
      </top>
      <bottom style="medium">
        <color theme="0"/>
      </bottom>
      <diagonal/>
    </border>
    <border>
      <left style="thin">
        <color theme="0"/>
      </left>
      <right/>
      <top style="medium">
        <color theme="0"/>
      </top>
      <bottom style="thin">
        <color theme="0"/>
      </bottom>
      <diagonal/>
    </border>
    <border>
      <left style="medium">
        <color indexed="64"/>
      </left>
      <right style="medium">
        <color indexed="64"/>
      </right>
      <top style="medium">
        <color indexed="64"/>
      </top>
      <bottom style="medium">
        <color indexed="64"/>
      </bottom>
      <diagonal/>
    </border>
    <border>
      <left/>
      <right/>
      <top style="medium">
        <color theme="0"/>
      </top>
      <bottom style="thin">
        <color indexed="64"/>
      </bottom>
      <diagonal/>
    </border>
    <border>
      <left style="medium">
        <color theme="0"/>
      </left>
      <right style="medium">
        <color theme="0"/>
      </right>
      <top/>
      <bottom style="medium">
        <color theme="0"/>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theme="0"/>
      </left>
      <right style="thin">
        <color theme="0"/>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top style="thin">
        <color theme="0"/>
      </top>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thin">
        <color theme="0"/>
      </right>
      <top/>
      <bottom/>
      <diagonal/>
    </border>
    <border>
      <left/>
      <right/>
      <top style="thin">
        <color indexed="64"/>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350">
    <xf numFmtId="0" fontId="0" fillId="0" borderId="0" xfId="0"/>
    <xf numFmtId="0" fontId="0" fillId="0" borderId="1" xfId="0" applyBorder="1"/>
    <xf numFmtId="0" fontId="0" fillId="0" borderId="2" xfId="0" applyBorder="1"/>
    <xf numFmtId="0" fontId="0" fillId="0" borderId="3" xfId="0" applyBorder="1"/>
    <xf numFmtId="0" fontId="1" fillId="0" borderId="4" xfId="0" quotePrefix="1" applyFont="1" applyBorder="1" applyAlignment="1">
      <alignment horizontal="centerContinuous"/>
    </xf>
    <xf numFmtId="0" fontId="1" fillId="0" borderId="4" xfId="0" applyFont="1" applyBorder="1" applyAlignment="1">
      <alignment horizontal="centerContinuous"/>
    </xf>
    <xf numFmtId="0" fontId="0" fillId="0" borderId="5" xfId="0" applyBorder="1"/>
    <xf numFmtId="0" fontId="0" fillId="0" borderId="4" xfId="0" applyBorder="1" applyAlignment="1">
      <alignment horizontal="centerContinuous"/>
    </xf>
    <xf numFmtId="0" fontId="0" fillId="0" borderId="0" xfId="0" applyAlignment="1">
      <alignment horizontal="right"/>
    </xf>
    <xf numFmtId="0" fontId="0" fillId="3" borderId="0" xfId="0" applyFill="1"/>
    <xf numFmtId="0" fontId="0" fillId="0" borderId="7" xfId="0" quotePrefix="1" applyBorder="1"/>
    <xf numFmtId="0" fontId="0" fillId="4" borderId="12" xfId="0" quotePrefix="1" applyFill="1" applyBorder="1" applyAlignment="1">
      <alignment horizontal="center" vertical="center" wrapText="1"/>
    </xf>
    <xf numFmtId="0" fontId="0" fillId="4" borderId="13" xfId="0" quotePrefix="1" applyFill="1" applyBorder="1" applyAlignment="1">
      <alignment horizontal="center" vertical="center" wrapText="1"/>
    </xf>
    <xf numFmtId="0" fontId="0" fillId="3" borderId="16" xfId="0" applyFill="1" applyBorder="1"/>
    <xf numFmtId="0" fontId="0" fillId="0" borderId="17" xfId="0" quotePrefix="1" applyBorder="1"/>
    <xf numFmtId="0" fontId="0" fillId="0" borderId="17" xfId="0" applyBorder="1"/>
    <xf numFmtId="164" fontId="0" fillId="0" borderId="17" xfId="0" applyNumberFormat="1" applyBorder="1" applyAlignment="1">
      <alignment horizontal="center"/>
    </xf>
    <xf numFmtId="0" fontId="0" fillId="0" borderId="19" xfId="0" applyBorder="1"/>
    <xf numFmtId="0" fontId="0" fillId="0" borderId="1" xfId="0" applyBorder="1" applyAlignment="1">
      <alignment horizontal="right"/>
    </xf>
    <xf numFmtId="0" fontId="0" fillId="0" borderId="4" xfId="0" applyBorder="1"/>
    <xf numFmtId="0" fontId="0" fillId="0" borderId="20" xfId="0" applyBorder="1"/>
    <xf numFmtId="0" fontId="0" fillId="0" borderId="21" xfId="0" quotePrefix="1" applyBorder="1"/>
    <xf numFmtId="0" fontId="0" fillId="0" borderId="21" xfId="0" applyBorder="1"/>
    <xf numFmtId="0" fontId="0" fillId="0" borderId="22" xfId="0" applyBorder="1"/>
    <xf numFmtId="0" fontId="0" fillId="0" borderId="0" xfId="0" applyAlignment="1">
      <alignment horizontal="center"/>
    </xf>
    <xf numFmtId="3" fontId="0" fillId="0" borderId="0" xfId="0" applyNumberFormat="1"/>
    <xf numFmtId="0" fontId="0" fillId="0" borderId="0" xfId="0" applyAlignment="1">
      <alignment horizontal="centerContinuous"/>
    </xf>
    <xf numFmtId="0" fontId="0" fillId="0" borderId="23" xfId="0" applyBorder="1"/>
    <xf numFmtId="0" fontId="0" fillId="0" borderId="24" xfId="0" applyBorder="1"/>
    <xf numFmtId="0" fontId="0" fillId="0" borderId="24"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0" borderId="7" xfId="0" applyBorder="1"/>
    <xf numFmtId="0" fontId="0" fillId="0" borderId="23" xfId="0" applyBorder="1" applyAlignment="1">
      <alignment horizontal="center"/>
    </xf>
    <xf numFmtId="0" fontId="0" fillId="0" borderId="25" xfId="0" applyBorder="1"/>
    <xf numFmtId="0" fontId="0" fillId="0" borderId="8" xfId="0" applyBorder="1"/>
    <xf numFmtId="0" fontId="0" fillId="0" borderId="14" xfId="0" applyBorder="1"/>
    <xf numFmtId="0" fontId="0" fillId="0" borderId="27" xfId="0" applyBorder="1"/>
    <xf numFmtId="0" fontId="0" fillId="0" borderId="26" xfId="0" applyBorder="1"/>
    <xf numFmtId="0" fontId="0" fillId="0" borderId="26" xfId="0" applyBorder="1" applyAlignment="1">
      <alignment horizontal="right"/>
    </xf>
    <xf numFmtId="1" fontId="0" fillId="0" borderId="0" xfId="0" applyNumberFormat="1" applyAlignment="1">
      <alignment horizontal="center"/>
    </xf>
    <xf numFmtId="0" fontId="0" fillId="0" borderId="14" xfId="0" applyBorder="1" applyAlignment="1">
      <alignment horizontal="right"/>
    </xf>
    <xf numFmtId="0" fontId="0" fillId="0" borderId="5" xfId="0" quotePrefix="1" applyBorder="1"/>
    <xf numFmtId="0" fontId="0" fillId="0" borderId="29" xfId="0" applyBorder="1"/>
    <xf numFmtId="0" fontId="1" fillId="0" borderId="4" xfId="0" quotePrefix="1" applyFont="1" applyBorder="1" applyAlignment="1">
      <alignment horizontal="center"/>
    </xf>
    <xf numFmtId="0" fontId="0" fillId="0" borderId="5" xfId="0" applyBorder="1" applyAlignment="1">
      <alignment horizontal="centerContinuous"/>
    </xf>
    <xf numFmtId="0" fontId="1" fillId="0" borderId="1" xfId="0" quotePrefix="1" applyFont="1" applyBorder="1" applyAlignment="1">
      <alignment horizontal="centerContinuous"/>
    </xf>
    <xf numFmtId="0" fontId="0" fillId="0" borderId="1" xfId="0" quotePrefix="1" applyBorder="1"/>
    <xf numFmtId="0" fontId="0" fillId="0" borderId="30" xfId="0" applyBorder="1" applyAlignment="1">
      <alignment horizontal="centerContinuous"/>
    </xf>
    <xf numFmtId="0" fontId="0" fillId="0" borderId="32" xfId="0" applyBorder="1"/>
    <xf numFmtId="0" fontId="0" fillId="0" borderId="29" xfId="0" applyBorder="1" applyAlignment="1">
      <alignment horizontal="centerContinuous"/>
    </xf>
    <xf numFmtId="0" fontId="0" fillId="0" borderId="5" xfId="0" applyBorder="1" applyAlignment="1">
      <alignment horizontal="right"/>
    </xf>
    <xf numFmtId="8" fontId="0" fillId="0" borderId="5" xfId="0" applyNumberFormat="1" applyBorder="1" applyAlignment="1">
      <alignment horizontal="left"/>
    </xf>
    <xf numFmtId="0" fontId="0" fillId="0" borderId="29" xfId="0" applyBorder="1" applyAlignment="1">
      <alignment horizontal="right"/>
    </xf>
    <xf numFmtId="0" fontId="6" fillId="0" borderId="30" xfId="0" quotePrefix="1" applyFont="1" applyBorder="1" applyAlignment="1">
      <alignment horizontal="centerContinuous"/>
    </xf>
    <xf numFmtId="0" fontId="6" fillId="0" borderId="30" xfId="0" applyFont="1" applyBorder="1" applyAlignment="1">
      <alignment horizontal="centerContinuous"/>
    </xf>
    <xf numFmtId="0" fontId="6" fillId="0" borderId="5" xfId="0" applyFont="1" applyBorder="1" applyAlignment="1">
      <alignment horizontal="centerContinuous"/>
    </xf>
    <xf numFmtId="168" fontId="0" fillId="0" borderId="3" xfId="0" applyNumberFormat="1" applyBorder="1"/>
    <xf numFmtId="0" fontId="6" fillId="0" borderId="5" xfId="0" quotePrefix="1" applyFont="1" applyBorder="1" applyAlignment="1">
      <alignment horizontal="centerContinuous"/>
    </xf>
    <xf numFmtId="168" fontId="0" fillId="0" borderId="1" xfId="0" applyNumberFormat="1" applyBorder="1"/>
    <xf numFmtId="0" fontId="0" fillId="0" borderId="1" xfId="0" applyBorder="1" applyAlignment="1">
      <alignment horizontal="centerContinuous"/>
    </xf>
    <xf numFmtId="0" fontId="0" fillId="0" borderId="1" xfId="0" quotePrefix="1" applyBorder="1" applyAlignment="1">
      <alignment horizontal="left"/>
    </xf>
    <xf numFmtId="164" fontId="0" fillId="0" borderId="0" xfId="0" applyNumberFormat="1"/>
    <xf numFmtId="9" fontId="0" fillId="0" borderId="0" xfId="2" applyFont="1"/>
    <xf numFmtId="0" fontId="0" fillId="0" borderId="35" xfId="0" applyBorder="1"/>
    <xf numFmtId="0" fontId="0" fillId="0" borderId="30" xfId="0" applyBorder="1"/>
    <xf numFmtId="0" fontId="0" fillId="0" borderId="30" xfId="0" quotePrefix="1" applyBorder="1"/>
    <xf numFmtId="0" fontId="0" fillId="0" borderId="34" xfId="0" quotePrefix="1" applyBorder="1"/>
    <xf numFmtId="0" fontId="0" fillId="0" borderId="5" xfId="0" quotePrefix="1" applyBorder="1" applyAlignment="1">
      <alignment horizontal="left"/>
    </xf>
    <xf numFmtId="0" fontId="0" fillId="0" borderId="1" xfId="0" quotePrefix="1" applyBorder="1" applyAlignment="1">
      <alignment horizontal="right"/>
    </xf>
    <xf numFmtId="9" fontId="0" fillId="0" borderId="1" xfId="0" applyNumberFormat="1" applyBorder="1" applyAlignment="1">
      <alignment horizontal="left"/>
    </xf>
    <xf numFmtId="8" fontId="0" fillId="0" borderId="18" xfId="0" applyNumberFormat="1" applyBorder="1" applyAlignment="1">
      <alignment horizontal="center"/>
    </xf>
    <xf numFmtId="0" fontId="0" fillId="0" borderId="0" xfId="0" quotePrefix="1"/>
    <xf numFmtId="0" fontId="0" fillId="0" borderId="6" xfId="0" quotePrefix="1" applyBorder="1" applyAlignment="1">
      <alignment horizontal="center"/>
    </xf>
    <xf numFmtId="169" fontId="0" fillId="0" borderId="0" xfId="0" applyNumberFormat="1"/>
    <xf numFmtId="9" fontId="0" fillId="0" borderId="0" xfId="0" applyNumberFormat="1"/>
    <xf numFmtId="1" fontId="0" fillId="0" borderId="0" xfId="0" applyNumberFormat="1"/>
    <xf numFmtId="0" fontId="0" fillId="0" borderId="0" xfId="0" quotePrefix="1" applyAlignment="1">
      <alignment horizontal="centerContinuous"/>
    </xf>
    <xf numFmtId="0" fontId="6" fillId="0" borderId="24" xfId="0" quotePrefix="1" applyFont="1" applyBorder="1" applyAlignment="1">
      <alignment horizontal="centerContinuous"/>
    </xf>
    <xf numFmtId="0" fontId="0" fillId="0" borderId="24" xfId="0" applyBorder="1" applyAlignment="1">
      <alignment horizontal="centerContinuous"/>
    </xf>
    <xf numFmtId="0" fontId="0" fillId="0" borderId="24" xfId="0" quotePrefix="1" applyBorder="1" applyAlignment="1">
      <alignment horizontal="centerContinuous"/>
    </xf>
    <xf numFmtId="0" fontId="6" fillId="0" borderId="0" xfId="0" quotePrefix="1" applyFont="1" applyAlignment="1">
      <alignment horizontal="centerContinuous"/>
    </xf>
    <xf numFmtId="2" fontId="0" fillId="0" borderId="0" xfId="0" applyNumberFormat="1" applyAlignment="1">
      <alignment horizontal="center"/>
    </xf>
    <xf numFmtId="170" fontId="0" fillId="0" borderId="0" xfId="0" applyNumberFormat="1" applyAlignment="1">
      <alignment horizontal="center"/>
    </xf>
    <xf numFmtId="0" fontId="0" fillId="0" borderId="0" xfId="0" quotePrefix="1" applyAlignment="1">
      <alignment horizontal="center"/>
    </xf>
    <xf numFmtId="171" fontId="0" fillId="0" borderId="0" xfId="0" applyNumberFormat="1"/>
    <xf numFmtId="166" fontId="0" fillId="0" borderId="0" xfId="0" applyNumberFormat="1" applyAlignment="1">
      <alignment horizontal="center"/>
    </xf>
    <xf numFmtId="172" fontId="0" fillId="0" borderId="0" xfId="0" applyNumberFormat="1" applyAlignment="1">
      <alignment horizontal="center"/>
    </xf>
    <xf numFmtId="173" fontId="0" fillId="0" borderId="0" xfId="0" applyNumberFormat="1"/>
    <xf numFmtId="0" fontId="0" fillId="0" borderId="0" xfId="0" quotePrefix="1" applyAlignment="1">
      <alignment horizontal="right"/>
    </xf>
    <xf numFmtId="174" fontId="0" fillId="0" borderId="0" xfId="0" applyNumberFormat="1" applyAlignment="1">
      <alignment horizontal="center"/>
    </xf>
    <xf numFmtId="175" fontId="0" fillId="0" borderId="0" xfId="0" applyNumberFormat="1" applyAlignment="1">
      <alignment horizontal="center"/>
    </xf>
    <xf numFmtId="0" fontId="7" fillId="0" borderId="0" xfId="0" quotePrefix="1" applyFont="1" applyAlignment="1">
      <alignment horizontal="centerContinuous"/>
    </xf>
    <xf numFmtId="166" fontId="0" fillId="0" borderId="7" xfId="0" applyNumberFormat="1" applyBorder="1" applyAlignment="1">
      <alignment horizontal="center"/>
    </xf>
    <xf numFmtId="167" fontId="0" fillId="0" borderId="0" xfId="0" applyNumberFormat="1"/>
    <xf numFmtId="167" fontId="0" fillId="0" borderId="0" xfId="0" applyNumberFormat="1" applyAlignment="1">
      <alignment horizontal="center"/>
    </xf>
    <xf numFmtId="0" fontId="0" fillId="0" borderId="25" xfId="0" applyBorder="1" applyAlignment="1">
      <alignment horizontal="centerContinuous"/>
    </xf>
    <xf numFmtId="176" fontId="0" fillId="0" borderId="0" xfId="0" applyNumberFormat="1" applyAlignment="1">
      <alignment horizontal="right"/>
    </xf>
    <xf numFmtId="0" fontId="0" fillId="0" borderId="8" xfId="0" applyBorder="1" applyAlignment="1">
      <alignment horizontal="left"/>
    </xf>
    <xf numFmtId="177" fontId="0" fillId="0" borderId="7" xfId="0" applyNumberFormat="1" applyBorder="1" applyAlignment="1">
      <alignment horizontal="right"/>
    </xf>
    <xf numFmtId="0" fontId="0" fillId="0" borderId="27" xfId="0" applyBorder="1" applyAlignment="1">
      <alignment horizontal="left"/>
    </xf>
    <xf numFmtId="0" fontId="0" fillId="0" borderId="7" xfId="0" quotePrefix="1" applyBorder="1" applyAlignment="1">
      <alignment horizontal="center"/>
    </xf>
    <xf numFmtId="0" fontId="0" fillId="0" borderId="7" xfId="0" applyBorder="1" applyAlignment="1">
      <alignment horizontal="centerContinuous"/>
    </xf>
    <xf numFmtId="0" fontId="0" fillId="0" borderId="27" xfId="0" applyBorder="1" applyAlignment="1">
      <alignment horizontal="centerContinuous"/>
    </xf>
    <xf numFmtId="176" fontId="0" fillId="0" borderId="7" xfId="0" applyNumberFormat="1" applyBorder="1" applyAlignment="1">
      <alignment horizontal="right"/>
    </xf>
    <xf numFmtId="10" fontId="0" fillId="0" borderId="0" xfId="2" applyNumberFormat="1" applyFont="1" applyAlignment="1">
      <alignment horizontal="center"/>
    </xf>
    <xf numFmtId="0" fontId="0" fillId="5" borderId="0" xfId="0" applyFill="1"/>
    <xf numFmtId="164" fontId="0" fillId="0" borderId="8" xfId="0" applyNumberFormat="1" applyBorder="1" applyAlignment="1">
      <alignment horizontal="left"/>
    </xf>
    <xf numFmtId="176" fontId="0" fillId="0" borderId="0" xfId="0" applyNumberFormat="1" applyAlignment="1">
      <alignment horizontal="centerContinuous"/>
    </xf>
    <xf numFmtId="0" fontId="0" fillId="0" borderId="8" xfId="0" applyBorder="1" applyAlignment="1">
      <alignment horizontal="centerContinuous"/>
    </xf>
    <xf numFmtId="176" fontId="0" fillId="0" borderId="7" xfId="0" quotePrefix="1" applyNumberFormat="1" applyBorder="1" applyAlignment="1">
      <alignment horizontal="centerContinuous"/>
    </xf>
    <xf numFmtId="166" fontId="0" fillId="0" borderId="0" xfId="0" applyNumberFormat="1"/>
    <xf numFmtId="0" fontId="0" fillId="0" borderId="37" xfId="0" applyBorder="1" applyAlignment="1">
      <alignment horizontal="right"/>
    </xf>
    <xf numFmtId="166" fontId="0" fillId="0" borderId="37" xfId="0" applyNumberFormat="1" applyBorder="1"/>
    <xf numFmtId="0" fontId="6" fillId="0" borderId="0" xfId="0" applyFont="1" applyAlignment="1">
      <alignment horizontal="center"/>
    </xf>
    <xf numFmtId="1" fontId="0" fillId="2" borderId="0" xfId="0" applyNumberFormat="1" applyFill="1" applyAlignment="1">
      <alignment horizontal="center"/>
    </xf>
    <xf numFmtId="3" fontId="0" fillId="2" borderId="0" xfId="0" applyNumberFormat="1" applyFill="1" applyAlignment="1">
      <alignment horizontal="right"/>
    </xf>
    <xf numFmtId="3" fontId="5" fillId="2" borderId="0" xfId="0" applyNumberFormat="1" applyFont="1" applyFill="1" applyAlignment="1">
      <alignment horizontal="right"/>
    </xf>
    <xf numFmtId="0" fontId="0" fillId="0" borderId="0" xfId="0" applyAlignment="1">
      <alignment horizontal="left"/>
    </xf>
    <xf numFmtId="0" fontId="0" fillId="3" borderId="22" xfId="0" applyFill="1" applyBorder="1"/>
    <xf numFmtId="0" fontId="0" fillId="0" borderId="38" xfId="0" applyBorder="1"/>
    <xf numFmtId="0" fontId="0" fillId="0" borderId="39" xfId="0" applyBorder="1"/>
    <xf numFmtId="0" fontId="0" fillId="2" borderId="0" xfId="0" applyFill="1"/>
    <xf numFmtId="0" fontId="0" fillId="2" borderId="0" xfId="0" applyFill="1" applyAlignment="1">
      <alignment horizontal="right"/>
    </xf>
    <xf numFmtId="0" fontId="0" fillId="2" borderId="0" xfId="0" quotePrefix="1" applyFill="1" applyAlignment="1">
      <alignment horizontal="left"/>
    </xf>
    <xf numFmtId="0" fontId="0" fillId="0" borderId="4" xfId="0" quotePrefix="1" applyBorder="1" applyAlignment="1">
      <alignment horizontal="left"/>
    </xf>
    <xf numFmtId="0" fontId="0" fillId="0" borderId="4" xfId="0" applyBorder="1" applyAlignment="1">
      <alignment horizontal="right"/>
    </xf>
    <xf numFmtId="0" fontId="0" fillId="0" borderId="0" xfId="0" quotePrefix="1" applyAlignment="1">
      <alignment horizontal="left"/>
    </xf>
    <xf numFmtId="0" fontId="0" fillId="0" borderId="5" xfId="0" applyBorder="1" applyAlignment="1">
      <alignment horizontal="left"/>
    </xf>
    <xf numFmtId="0" fontId="0" fillId="0" borderId="29" xfId="0" applyBorder="1" applyAlignment="1">
      <alignment horizontal="left"/>
    </xf>
    <xf numFmtId="0" fontId="0" fillId="0" borderId="42" xfId="0" quotePrefix="1" applyBorder="1"/>
    <xf numFmtId="0" fontId="0" fillId="0" borderId="42" xfId="0" applyBorder="1"/>
    <xf numFmtId="164" fontId="0" fillId="0" borderId="42" xfId="0" applyNumberFormat="1" applyBorder="1" applyAlignment="1">
      <alignment horizontal="center"/>
    </xf>
    <xf numFmtId="0" fontId="0" fillId="3" borderId="41" xfId="0" applyFill="1" applyBorder="1"/>
    <xf numFmtId="0" fontId="0" fillId="2" borderId="43" xfId="0" applyFill="1" applyBorder="1" applyAlignment="1">
      <alignment horizontal="left"/>
    </xf>
    <xf numFmtId="0" fontId="0" fillId="2" borderId="36" xfId="0" applyFill="1" applyBorder="1"/>
    <xf numFmtId="0" fontId="0" fillId="2" borderId="44" xfId="0" applyFill="1" applyBorder="1"/>
    <xf numFmtId="179" fontId="0" fillId="2" borderId="45" xfId="3" applyNumberFormat="1" applyFont="1" applyFill="1" applyBorder="1"/>
    <xf numFmtId="0" fontId="0" fillId="2" borderId="44" xfId="0" applyFill="1" applyBorder="1" applyAlignment="1">
      <alignment horizontal="left"/>
    </xf>
    <xf numFmtId="179" fontId="0" fillId="2" borderId="45" xfId="3" applyNumberFormat="1" applyFont="1" applyFill="1" applyBorder="1" applyAlignment="1">
      <alignment horizontal="center"/>
    </xf>
    <xf numFmtId="0" fontId="0" fillId="2" borderId="45" xfId="0" applyFill="1" applyBorder="1"/>
    <xf numFmtId="0" fontId="0" fillId="2" borderId="45" xfId="0" applyFill="1" applyBorder="1" applyAlignment="1">
      <alignment horizontal="center"/>
    </xf>
    <xf numFmtId="0" fontId="0" fillId="2" borderId="6" xfId="0" applyFill="1" applyBorder="1"/>
    <xf numFmtId="0" fontId="1" fillId="0" borderId="0" xfId="0" quotePrefix="1" applyFont="1" applyAlignment="1">
      <alignment horizontal="centerContinuous"/>
    </xf>
    <xf numFmtId="0" fontId="0" fillId="3" borderId="0" xfId="0" applyFill="1" applyAlignment="1">
      <alignment horizontal="centerContinuous"/>
    </xf>
    <xf numFmtId="0" fontId="1" fillId="0" borderId="22" xfId="0" quotePrefix="1" applyFont="1" applyBorder="1" applyAlignment="1">
      <alignment horizontal="centerContinuous"/>
    </xf>
    <xf numFmtId="0" fontId="0" fillId="3" borderId="19" xfId="0" applyFill="1" applyBorder="1" applyAlignment="1">
      <alignment horizontal="centerContinuous"/>
    </xf>
    <xf numFmtId="0" fontId="1" fillId="0" borderId="0" xfId="0" quotePrefix="1" applyFont="1" applyAlignment="1">
      <alignment horizontal="center"/>
    </xf>
    <xf numFmtId="8" fontId="0" fillId="0" borderId="46" xfId="0" applyNumberFormat="1" applyBorder="1" applyAlignment="1">
      <alignment horizontal="center"/>
    </xf>
    <xf numFmtId="0" fontId="9" fillId="6" borderId="47" xfId="0" applyFont="1" applyFill="1" applyBorder="1"/>
    <xf numFmtId="0" fontId="9" fillId="6" borderId="48" xfId="0" applyFont="1" applyFill="1" applyBorder="1" applyAlignment="1">
      <alignment horizontal="right"/>
    </xf>
    <xf numFmtId="0" fontId="10" fillId="0" borderId="1" xfId="0" quotePrefix="1" applyFont="1" applyBorder="1"/>
    <xf numFmtId="0" fontId="0" fillId="4" borderId="31" xfId="0" applyFill="1" applyBorder="1" applyAlignment="1">
      <alignment horizontal="center"/>
    </xf>
    <xf numFmtId="0" fontId="0" fillId="0" borderId="45" xfId="0" quotePrefix="1" applyBorder="1" applyAlignment="1">
      <alignment horizontal="right"/>
    </xf>
    <xf numFmtId="0" fontId="0" fillId="0" borderId="45" xfId="0" applyBorder="1" applyAlignment="1">
      <alignment horizontal="right"/>
    </xf>
    <xf numFmtId="0" fontId="0" fillId="0" borderId="6" xfId="0" applyBorder="1" applyAlignment="1">
      <alignment horizontal="center"/>
    </xf>
    <xf numFmtId="164" fontId="0" fillId="0" borderId="50" xfId="0" applyNumberFormat="1" applyBorder="1" applyAlignment="1" applyProtection="1">
      <alignment horizontal="center"/>
      <protection hidden="1"/>
    </xf>
    <xf numFmtId="164" fontId="0" fillId="0" borderId="31" xfId="0" applyNumberFormat="1" applyBorder="1" applyAlignment="1" applyProtection="1">
      <alignment horizontal="center"/>
      <protection hidden="1"/>
    </xf>
    <xf numFmtId="8" fontId="0" fillId="0" borderId="50" xfId="0" applyNumberFormat="1" applyBorder="1" applyAlignment="1" applyProtection="1">
      <alignment horizontal="center"/>
      <protection hidden="1"/>
    </xf>
    <xf numFmtId="8" fontId="0" fillId="0" borderId="31" xfId="0" applyNumberFormat="1" applyBorder="1" applyAlignment="1" applyProtection="1">
      <alignment horizontal="center"/>
      <protection hidden="1"/>
    </xf>
    <xf numFmtId="8" fontId="9" fillId="7" borderId="49" xfId="0" applyNumberFormat="1" applyFont="1" applyFill="1" applyBorder="1" applyProtection="1">
      <protection hidden="1"/>
    </xf>
    <xf numFmtId="44" fontId="0" fillId="0" borderId="5" xfId="1" applyFont="1" applyBorder="1" applyAlignment="1" applyProtection="1">
      <alignment horizontal="left"/>
      <protection hidden="1"/>
    </xf>
    <xf numFmtId="44" fontId="0" fillId="0" borderId="2" xfId="0" applyNumberFormat="1" applyBorder="1" applyProtection="1">
      <protection hidden="1"/>
    </xf>
    <xf numFmtId="8" fontId="5" fillId="0" borderId="1" xfId="0" applyNumberFormat="1" applyFont="1" applyBorder="1" applyAlignment="1" applyProtection="1">
      <alignment horizontal="left"/>
      <protection hidden="1"/>
    </xf>
    <xf numFmtId="0" fontId="0" fillId="0" borderId="0" xfId="0" applyProtection="1">
      <protection hidden="1"/>
    </xf>
    <xf numFmtId="0" fontId="0" fillId="0" borderId="1" xfId="0" applyBorder="1" applyProtection="1">
      <protection hidden="1"/>
    </xf>
    <xf numFmtId="179" fontId="0" fillId="3" borderId="40" xfId="3" applyNumberFormat="1" applyFont="1" applyFill="1" applyBorder="1" applyAlignment="1" applyProtection="1">
      <alignment horizontal="center"/>
      <protection locked="0"/>
    </xf>
    <xf numFmtId="0" fontId="0" fillId="3" borderId="1" xfId="0" applyFill="1" applyBorder="1" applyProtection="1">
      <protection hidden="1"/>
    </xf>
    <xf numFmtId="0" fontId="0" fillId="3" borderId="0" xfId="0" applyFill="1" applyProtection="1">
      <protection hidden="1"/>
    </xf>
    <xf numFmtId="0" fontId="0" fillId="3" borderId="0" xfId="0" applyFill="1" applyAlignment="1" applyProtection="1">
      <alignment horizontal="center"/>
      <protection hidden="1"/>
    </xf>
    <xf numFmtId="3" fontId="5" fillId="3" borderId="0" xfId="0" applyNumberFormat="1" applyFont="1" applyFill="1" applyAlignment="1" applyProtection="1">
      <alignment horizontal="center"/>
      <protection hidden="1"/>
    </xf>
    <xf numFmtId="8" fontId="5" fillId="3" borderId="0" xfId="0" applyNumberFormat="1" applyFont="1" applyFill="1" applyAlignment="1" applyProtection="1">
      <alignment horizontal="left"/>
      <protection hidden="1"/>
    </xf>
    <xf numFmtId="44" fontId="0" fillId="3" borderId="0" xfId="1" applyFont="1" applyFill="1" applyBorder="1" applyAlignment="1" applyProtection="1">
      <alignment horizontal="left"/>
      <protection hidden="1"/>
    </xf>
    <xf numFmtId="164" fontId="0" fillId="3" borderId="0" xfId="0" applyNumberFormat="1" applyFill="1" applyAlignment="1" applyProtection="1">
      <alignment horizontal="center"/>
      <protection hidden="1"/>
    </xf>
    <xf numFmtId="8" fontId="0" fillId="3" borderId="0" xfId="0" applyNumberFormat="1" applyFill="1" applyAlignment="1" applyProtection="1">
      <alignment horizontal="center"/>
      <protection hidden="1"/>
    </xf>
    <xf numFmtId="8" fontId="9" fillId="3" borderId="0" xfId="0" applyNumberFormat="1" applyFont="1" applyFill="1" applyProtection="1">
      <protection hidden="1"/>
    </xf>
    <xf numFmtId="0" fontId="0" fillId="3" borderId="0" xfId="0" applyFill="1" applyAlignment="1" applyProtection="1">
      <alignment horizontal="right"/>
      <protection hidden="1"/>
    </xf>
    <xf numFmtId="0" fontId="0" fillId="3" borderId="0" xfId="0" applyFill="1" applyAlignment="1" applyProtection="1">
      <alignment horizontal="centerContinuous"/>
      <protection hidden="1"/>
    </xf>
    <xf numFmtId="0" fontId="11" fillId="3" borderId="4" xfId="0" quotePrefix="1" applyFont="1" applyFill="1" applyBorder="1"/>
    <xf numFmtId="0" fontId="0" fillId="0" borderId="4" xfId="0" applyBorder="1" applyProtection="1">
      <protection hidden="1"/>
    </xf>
    <xf numFmtId="0" fontId="0" fillId="3" borderId="4" xfId="0" applyFill="1" applyBorder="1" applyProtection="1">
      <protection hidden="1"/>
    </xf>
    <xf numFmtId="0" fontId="11" fillId="3" borderId="4" xfId="0" quotePrefix="1" applyFont="1" applyFill="1" applyBorder="1" applyProtection="1">
      <protection hidden="1"/>
    </xf>
    <xf numFmtId="0" fontId="0" fillId="3" borderId="2" xfId="0" applyFill="1" applyBorder="1" applyProtection="1">
      <protection hidden="1"/>
    </xf>
    <xf numFmtId="0" fontId="1" fillId="3" borderId="0" xfId="0" quotePrefix="1" applyFont="1" applyFill="1" applyAlignment="1" applyProtection="1">
      <alignment horizontal="centerContinuous"/>
      <protection hidden="1"/>
    </xf>
    <xf numFmtId="0" fontId="1" fillId="3" borderId="0" xfId="0" applyFont="1" applyFill="1" applyAlignment="1" applyProtection="1">
      <alignment horizontal="centerContinuous"/>
      <protection hidden="1"/>
    </xf>
    <xf numFmtId="0" fontId="0" fillId="3" borderId="20" xfId="0" applyFill="1" applyBorder="1" applyProtection="1">
      <protection hidden="1"/>
    </xf>
    <xf numFmtId="0" fontId="0" fillId="3" borderId="0" xfId="0" quotePrefix="1" applyFill="1" applyProtection="1">
      <protection hidden="1"/>
    </xf>
    <xf numFmtId="0" fontId="12" fillId="3" borderId="0" xfId="0" quotePrefix="1" applyFont="1" applyFill="1" applyProtection="1">
      <protection hidden="1"/>
    </xf>
    <xf numFmtId="0" fontId="12" fillId="3" borderId="0" xfId="0" quotePrefix="1" applyFont="1" applyFill="1" applyAlignment="1" applyProtection="1">
      <alignment horizontal="left"/>
      <protection hidden="1"/>
    </xf>
    <xf numFmtId="0" fontId="0" fillId="3" borderId="0" xfId="0" quotePrefix="1" applyFill="1" applyAlignment="1" applyProtection="1">
      <alignment horizontal="left"/>
      <protection hidden="1"/>
    </xf>
    <xf numFmtId="0" fontId="0" fillId="3" borderId="0" xfId="0" quotePrefix="1" applyFill="1" applyAlignment="1" applyProtection="1">
      <alignment horizontal="right"/>
      <protection hidden="1"/>
    </xf>
    <xf numFmtId="9" fontId="0" fillId="3" borderId="0" xfId="0" applyNumberFormat="1" applyFill="1" applyAlignment="1" applyProtection="1">
      <alignment horizontal="left"/>
      <protection hidden="1"/>
    </xf>
    <xf numFmtId="0" fontId="9" fillId="3" borderId="0" xfId="0" applyFont="1" applyFill="1" applyProtection="1">
      <protection hidden="1"/>
    </xf>
    <xf numFmtId="0" fontId="9" fillId="3" borderId="0" xfId="0" applyFont="1" applyFill="1" applyAlignment="1" applyProtection="1">
      <alignment horizontal="right"/>
      <protection hidden="1"/>
    </xf>
    <xf numFmtId="0" fontId="0" fillId="3" borderId="51" xfId="0" applyFill="1" applyBorder="1" applyProtection="1">
      <protection hidden="1"/>
    </xf>
    <xf numFmtId="0" fontId="0" fillId="3" borderId="0" xfId="0" applyFill="1" applyAlignment="1">
      <alignment horizontal="center" vertical="center" wrapText="1"/>
    </xf>
    <xf numFmtId="0" fontId="9" fillId="6" borderId="31" xfId="0" applyFont="1" applyFill="1" applyBorder="1" applyAlignment="1">
      <alignment horizontal="center" vertical="center" wrapText="1"/>
    </xf>
    <xf numFmtId="180" fontId="9" fillId="7" borderId="31" xfId="1" applyNumberFormat="1" applyFont="1" applyFill="1" applyBorder="1" applyProtection="1">
      <protection hidden="1"/>
    </xf>
    <xf numFmtId="0" fontId="14" fillId="0" borderId="0" xfId="0" applyFont="1" applyProtection="1">
      <protection hidden="1"/>
    </xf>
    <xf numFmtId="0" fontId="14" fillId="3" borderId="0" xfId="0" quotePrefix="1" applyFont="1" applyFill="1" applyProtection="1">
      <protection hidden="1"/>
    </xf>
    <xf numFmtId="0" fontId="14" fillId="3" borderId="0" xfId="0" applyFont="1" applyFill="1" applyProtection="1">
      <protection hidden="1"/>
    </xf>
    <xf numFmtId="0" fontId="14" fillId="3" borderId="0" xfId="0" applyFont="1" applyFill="1" applyAlignment="1" applyProtection="1">
      <alignment horizontal="center" vertical="center" wrapText="1"/>
      <protection hidden="1"/>
    </xf>
    <xf numFmtId="0" fontId="14" fillId="3" borderId="0" xfId="0" quotePrefix="1" applyFont="1" applyFill="1" applyAlignment="1" applyProtection="1">
      <alignment horizontal="center" vertical="center" wrapText="1"/>
      <protection hidden="1"/>
    </xf>
    <xf numFmtId="0" fontId="15" fillId="3" borderId="0" xfId="0" applyFont="1" applyFill="1" applyAlignment="1" applyProtection="1">
      <alignment horizontal="center" vertical="center" wrapText="1"/>
      <protection hidden="1"/>
    </xf>
    <xf numFmtId="3" fontId="1" fillId="3" borderId="0" xfId="0" applyNumberFormat="1" applyFont="1" applyFill="1" applyAlignment="1" applyProtection="1">
      <alignment horizontal="center"/>
      <protection hidden="1"/>
    </xf>
    <xf numFmtId="4" fontId="14" fillId="3" borderId="0" xfId="0" applyNumberFormat="1" applyFont="1" applyFill="1" applyAlignment="1" applyProtection="1">
      <alignment horizontal="center"/>
      <protection hidden="1"/>
    </xf>
    <xf numFmtId="180" fontId="15" fillId="3" borderId="0" xfId="1" applyNumberFormat="1" applyFont="1" applyFill="1" applyBorder="1" applyProtection="1">
      <protection hidden="1"/>
    </xf>
    <xf numFmtId="14" fontId="14" fillId="3" borderId="0" xfId="0" applyNumberFormat="1" applyFont="1" applyFill="1" applyProtection="1">
      <protection hidden="1"/>
    </xf>
    <xf numFmtId="0" fontId="14" fillId="3" borderId="0" xfId="0" applyFont="1" applyFill="1" applyAlignment="1" applyProtection="1">
      <alignment horizontal="center"/>
      <protection hidden="1"/>
    </xf>
    <xf numFmtId="0" fontId="1" fillId="3" borderId="0" xfId="0" quotePrefix="1" applyFont="1" applyFill="1" applyProtection="1">
      <protection hidden="1"/>
    </xf>
    <xf numFmtId="0" fontId="16" fillId="3" borderId="0" xfId="0" applyFont="1" applyFill="1" applyAlignment="1" applyProtection="1">
      <alignment horizontal="centerContinuous"/>
      <protection hidden="1"/>
    </xf>
    <xf numFmtId="0" fontId="14" fillId="3" borderId="0" xfId="0" quotePrefix="1" applyFont="1" applyFill="1" applyAlignment="1" applyProtection="1">
      <alignment horizontal="left"/>
      <protection hidden="1"/>
    </xf>
    <xf numFmtId="0" fontId="14" fillId="3" borderId="0" xfId="0" applyFont="1" applyFill="1" applyAlignment="1" applyProtection="1">
      <alignment horizontal="centerContinuous"/>
      <protection hidden="1"/>
    </xf>
    <xf numFmtId="0" fontId="14" fillId="3" borderId="0" xfId="0" applyFont="1" applyFill="1" applyAlignment="1" applyProtection="1">
      <alignment horizontal="right"/>
      <protection hidden="1"/>
    </xf>
    <xf numFmtId="8" fontId="1" fillId="3" borderId="0" xfId="0" applyNumberFormat="1" applyFont="1" applyFill="1" applyAlignment="1" applyProtection="1">
      <alignment horizontal="left"/>
      <protection hidden="1"/>
    </xf>
    <xf numFmtId="44" fontId="14" fillId="3" borderId="0" xfId="1" applyFont="1" applyFill="1" applyBorder="1" applyAlignment="1" applyProtection="1">
      <alignment horizontal="left"/>
      <protection hidden="1"/>
    </xf>
    <xf numFmtId="0" fontId="17" fillId="3" borderId="0" xfId="0" quotePrefix="1" applyFont="1" applyFill="1" applyProtection="1">
      <protection hidden="1"/>
    </xf>
    <xf numFmtId="0" fontId="14" fillId="3" borderId="26" xfId="0" quotePrefix="1" applyFont="1" applyFill="1" applyBorder="1" applyProtection="1">
      <protection hidden="1"/>
    </xf>
    <xf numFmtId="8" fontId="1" fillId="3" borderId="8" xfId="0" applyNumberFormat="1" applyFont="1" applyFill="1" applyBorder="1" applyAlignment="1" applyProtection="1">
      <alignment horizontal="right"/>
      <protection hidden="1"/>
    </xf>
    <xf numFmtId="0" fontId="14" fillId="3" borderId="52" xfId="0" quotePrefix="1" applyFont="1" applyFill="1" applyBorder="1" applyProtection="1">
      <protection hidden="1"/>
    </xf>
    <xf numFmtId="0" fontId="14" fillId="3" borderId="53" xfId="0" applyFont="1" applyFill="1" applyBorder="1" applyAlignment="1" applyProtection="1">
      <alignment horizontal="centerContinuous"/>
      <protection hidden="1"/>
    </xf>
    <xf numFmtId="0" fontId="14" fillId="3" borderId="53" xfId="0" applyFont="1" applyFill="1" applyBorder="1" applyAlignment="1" applyProtection="1">
      <alignment horizontal="right"/>
      <protection hidden="1"/>
    </xf>
    <xf numFmtId="8" fontId="1" fillId="3" borderId="54" xfId="0" applyNumberFormat="1" applyFont="1" applyFill="1" applyBorder="1" applyAlignment="1" applyProtection="1">
      <alignment horizontal="right"/>
      <protection hidden="1"/>
    </xf>
    <xf numFmtId="8" fontId="13" fillId="3" borderId="0" xfId="0" applyNumberFormat="1" applyFont="1" applyFill="1" applyAlignment="1" applyProtection="1">
      <alignment horizontal="right"/>
      <protection hidden="1"/>
    </xf>
    <xf numFmtId="0" fontId="12" fillId="3" borderId="0" xfId="0" applyFont="1" applyFill="1" applyAlignment="1" applyProtection="1">
      <alignment horizontal="center"/>
      <protection hidden="1"/>
    </xf>
    <xf numFmtId="0" fontId="12" fillId="0" borderId="1" xfId="0" applyFont="1" applyBorder="1" applyProtection="1">
      <protection hidden="1"/>
    </xf>
    <xf numFmtId="0" fontId="0" fillId="0" borderId="32" xfId="0" applyBorder="1" applyAlignment="1">
      <alignment horizontal="left"/>
    </xf>
    <xf numFmtId="0" fontId="0" fillId="0" borderId="19" xfId="0" applyBorder="1" applyAlignment="1">
      <alignment horizontal="center"/>
    </xf>
    <xf numFmtId="0" fontId="0" fillId="0" borderId="4" xfId="0" applyBorder="1" applyAlignment="1">
      <alignment horizontal="center"/>
    </xf>
    <xf numFmtId="0" fontId="0" fillId="0" borderId="55" xfId="0" applyBorder="1"/>
    <xf numFmtId="0" fontId="0" fillId="3" borderId="43" xfId="0" quotePrefix="1" applyFill="1" applyBorder="1" applyAlignment="1">
      <alignment horizontal="center"/>
    </xf>
    <xf numFmtId="44" fontId="0" fillId="3" borderId="43" xfId="0" applyNumberFormat="1" applyFill="1" applyBorder="1" applyAlignment="1" applyProtection="1">
      <alignment horizontal="left"/>
      <protection hidden="1"/>
    </xf>
    <xf numFmtId="0" fontId="0" fillId="3" borderId="44" xfId="0" quotePrefix="1" applyFill="1" applyBorder="1" applyAlignment="1">
      <alignment horizontal="center"/>
    </xf>
    <xf numFmtId="44" fontId="0" fillId="3" borderId="44" xfId="0" applyNumberFormat="1" applyFill="1" applyBorder="1" applyAlignment="1" applyProtection="1">
      <alignment horizontal="left"/>
      <protection hidden="1"/>
    </xf>
    <xf numFmtId="0" fontId="0" fillId="3" borderId="12" xfId="0" quotePrefix="1" applyFill="1" applyBorder="1" applyAlignment="1">
      <alignment horizontal="center"/>
    </xf>
    <xf numFmtId="44" fontId="0" fillId="3" borderId="12" xfId="1" applyFont="1" applyFill="1" applyBorder="1" applyAlignment="1" applyProtection="1">
      <alignment horizontal="left"/>
      <protection hidden="1"/>
    </xf>
    <xf numFmtId="0" fontId="0" fillId="3" borderId="0" xfId="0" applyFill="1" applyAlignment="1">
      <alignment horizontal="center"/>
    </xf>
    <xf numFmtId="0" fontId="17" fillId="0" borderId="0" xfId="0" applyFont="1" applyProtection="1">
      <protection hidden="1"/>
    </xf>
    <xf numFmtId="0" fontId="7" fillId="2" borderId="44" xfId="0" applyFont="1" applyFill="1" applyBorder="1" applyAlignment="1">
      <alignment horizontal="left"/>
    </xf>
    <xf numFmtId="0" fontId="0" fillId="2" borderId="12" xfId="0" applyFill="1" applyBorder="1"/>
    <xf numFmtId="9" fontId="0" fillId="2" borderId="58" xfId="2" applyFont="1" applyFill="1" applyBorder="1"/>
    <xf numFmtId="0" fontId="9" fillId="6" borderId="11" xfId="0" applyFont="1" applyFill="1" applyBorder="1" applyAlignment="1">
      <alignment horizontal="center" vertical="center" wrapText="1"/>
    </xf>
    <xf numFmtId="0" fontId="0" fillId="3" borderId="0" xfId="0" quotePrefix="1" applyFill="1"/>
    <xf numFmtId="0" fontId="0" fillId="3" borderId="0" xfId="0" quotePrefix="1" applyFill="1" applyAlignment="1">
      <alignment horizontal="center" vertical="center" wrapText="1"/>
    </xf>
    <xf numFmtId="3" fontId="0" fillId="3" borderId="0" xfId="0" applyNumberFormat="1" applyFill="1" applyProtection="1">
      <protection hidden="1"/>
    </xf>
    <xf numFmtId="0" fontId="0" fillId="4" borderId="61" xfId="0" applyFill="1" applyBorder="1" applyAlignment="1">
      <alignment horizontal="center" vertical="center" wrapText="1"/>
    </xf>
    <xf numFmtId="3" fontId="0" fillId="5" borderId="14" xfId="0" applyNumberFormat="1" applyFill="1" applyBorder="1" applyAlignment="1" applyProtection="1">
      <alignment horizontal="center"/>
      <protection hidden="1"/>
    </xf>
    <xf numFmtId="167" fontId="0" fillId="5" borderId="15" xfId="0" applyNumberFormat="1" applyFill="1" applyBorder="1" applyAlignment="1" applyProtection="1">
      <alignment horizontal="center"/>
      <protection hidden="1"/>
    </xf>
    <xf numFmtId="167" fontId="9" fillId="7" borderId="27" xfId="1" applyNumberFormat="1" applyFont="1" applyFill="1" applyBorder="1" applyProtection="1">
      <protection hidden="1"/>
    </xf>
    <xf numFmtId="0" fontId="14" fillId="3" borderId="23" xfId="0" quotePrefix="1" applyFont="1" applyFill="1" applyBorder="1" applyProtection="1">
      <protection hidden="1"/>
    </xf>
    <xf numFmtId="0" fontId="14" fillId="3" borderId="24" xfId="0" applyFont="1" applyFill="1" applyBorder="1" applyAlignment="1" applyProtection="1">
      <alignment horizontal="centerContinuous"/>
      <protection hidden="1"/>
    </xf>
    <xf numFmtId="0" fontId="14" fillId="3" borderId="24" xfId="0" applyFont="1" applyFill="1" applyBorder="1" applyAlignment="1" applyProtection="1">
      <alignment horizontal="right"/>
      <protection hidden="1"/>
    </xf>
    <xf numFmtId="8" fontId="1" fillId="3" borderId="25" xfId="0" applyNumberFormat="1" applyFont="1" applyFill="1" applyBorder="1" applyAlignment="1" applyProtection="1">
      <alignment horizontal="right"/>
      <protection hidden="1"/>
    </xf>
    <xf numFmtId="0" fontId="0" fillId="9" borderId="0" xfId="0" applyFill="1" applyProtection="1">
      <protection hidden="1"/>
    </xf>
    <xf numFmtId="0" fontId="0" fillId="9" borderId="0" xfId="0" applyFill="1" applyAlignment="1" applyProtection="1">
      <alignment horizontal="right"/>
      <protection hidden="1"/>
    </xf>
    <xf numFmtId="166" fontId="0" fillId="9" borderId="0" xfId="0" applyNumberFormat="1" applyFill="1" applyProtection="1">
      <protection hidden="1"/>
    </xf>
    <xf numFmtId="0" fontId="0" fillId="9" borderId="37" xfId="0" applyFill="1" applyBorder="1" applyProtection="1">
      <protection hidden="1"/>
    </xf>
    <xf numFmtId="0" fontId="0" fillId="9" borderId="37" xfId="0" applyFill="1" applyBorder="1" applyAlignment="1" applyProtection="1">
      <alignment horizontal="right"/>
      <protection hidden="1"/>
    </xf>
    <xf numFmtId="166" fontId="0" fillId="9" borderId="37" xfId="0" applyNumberFormat="1" applyFill="1" applyBorder="1" applyProtection="1">
      <protection hidden="1"/>
    </xf>
    <xf numFmtId="178" fontId="0" fillId="9" borderId="0" xfId="2" applyNumberFormat="1" applyFont="1" applyFill="1" applyProtection="1">
      <protection hidden="1"/>
    </xf>
    <xf numFmtId="167" fontId="0" fillId="9" borderId="0" xfId="0" applyNumberFormat="1" applyFill="1" applyProtection="1">
      <protection hidden="1"/>
    </xf>
    <xf numFmtId="167" fontId="0" fillId="9" borderId="0" xfId="0" applyNumberFormat="1" applyFill="1" applyAlignment="1" applyProtection="1">
      <alignment horizontal="right"/>
      <protection hidden="1"/>
    </xf>
    <xf numFmtId="167" fontId="0" fillId="9" borderId="37" xfId="0" applyNumberFormat="1" applyFill="1" applyBorder="1" applyProtection="1">
      <protection hidden="1"/>
    </xf>
    <xf numFmtId="167" fontId="0" fillId="9" borderId="37" xfId="0" applyNumberFormat="1" applyFill="1" applyBorder="1" applyAlignment="1" applyProtection="1">
      <alignment horizontal="right"/>
      <protection hidden="1"/>
    </xf>
    <xf numFmtId="0" fontId="0" fillId="9" borderId="0" xfId="0" quotePrefix="1" applyFill="1" applyAlignment="1" applyProtection="1">
      <alignment horizontal="right"/>
      <protection hidden="1"/>
    </xf>
    <xf numFmtId="0" fontId="0" fillId="9" borderId="0" xfId="0" applyFill="1" applyAlignment="1" applyProtection="1">
      <alignment horizontal="centerContinuous"/>
      <protection hidden="1"/>
    </xf>
    <xf numFmtId="0" fontId="0" fillId="9" borderId="23" xfId="0" applyFill="1" applyBorder="1" applyProtection="1">
      <protection hidden="1"/>
    </xf>
    <xf numFmtId="0" fontId="0" fillId="9" borderId="24" xfId="0" applyFill="1" applyBorder="1" applyProtection="1">
      <protection hidden="1"/>
    </xf>
    <xf numFmtId="0" fontId="0" fillId="9" borderId="24" xfId="0" applyFill="1" applyBorder="1" applyAlignment="1" applyProtection="1">
      <alignment horizontal="center"/>
      <protection hidden="1"/>
    </xf>
    <xf numFmtId="0" fontId="0" fillId="9" borderId="25" xfId="0" applyFill="1" applyBorder="1" applyAlignment="1" applyProtection="1">
      <alignment horizontal="center"/>
      <protection hidden="1"/>
    </xf>
    <xf numFmtId="0" fontId="0" fillId="9" borderId="0" xfId="0" applyFill="1" applyAlignment="1" applyProtection="1">
      <alignment horizontal="center"/>
      <protection hidden="1"/>
    </xf>
    <xf numFmtId="0" fontId="0" fillId="9" borderId="23" xfId="0" applyFill="1" applyBorder="1" applyAlignment="1" applyProtection="1">
      <alignment horizontal="center"/>
      <protection hidden="1"/>
    </xf>
    <xf numFmtId="0" fontId="0" fillId="9" borderId="25" xfId="0" applyFill="1" applyBorder="1" applyProtection="1">
      <protection hidden="1"/>
    </xf>
    <xf numFmtId="0" fontId="0" fillId="9" borderId="26" xfId="0" applyFill="1" applyBorder="1" applyAlignment="1" applyProtection="1">
      <alignment horizontal="center"/>
      <protection hidden="1"/>
    </xf>
    <xf numFmtId="0" fontId="0" fillId="9" borderId="8" xfId="0" applyFill="1" applyBorder="1" applyAlignment="1" applyProtection="1">
      <alignment horizontal="center"/>
      <protection hidden="1"/>
    </xf>
    <xf numFmtId="0" fontId="0" fillId="9" borderId="8" xfId="0" applyFill="1" applyBorder="1" applyProtection="1">
      <protection hidden="1"/>
    </xf>
    <xf numFmtId="0" fontId="0" fillId="9" borderId="26" xfId="0" applyFill="1" applyBorder="1" applyProtection="1">
      <protection hidden="1"/>
    </xf>
    <xf numFmtId="166" fontId="0" fillId="9" borderId="8" xfId="0" applyNumberFormat="1" applyFill="1" applyBorder="1" applyProtection="1">
      <protection hidden="1"/>
    </xf>
    <xf numFmtId="166" fontId="0" fillId="9" borderId="26" xfId="0" applyNumberFormat="1" applyFill="1" applyBorder="1" applyProtection="1">
      <protection hidden="1"/>
    </xf>
    <xf numFmtId="167" fontId="0" fillId="9" borderId="8" xfId="0" applyNumberFormat="1" applyFill="1" applyBorder="1" applyProtection="1">
      <protection hidden="1"/>
    </xf>
    <xf numFmtId="164" fontId="0" fillId="9" borderId="0" xfId="0" applyNumberFormat="1" applyFill="1" applyProtection="1">
      <protection hidden="1"/>
    </xf>
    <xf numFmtId="0" fontId="0" fillId="9" borderId="14" xfId="0" applyFill="1" applyBorder="1" applyAlignment="1" applyProtection="1">
      <alignment horizontal="center"/>
      <protection hidden="1"/>
    </xf>
    <xf numFmtId="0" fontId="0" fillId="9" borderId="7" xfId="0" applyFill="1" applyBorder="1" applyAlignment="1" applyProtection="1">
      <alignment horizontal="center"/>
      <protection hidden="1"/>
    </xf>
    <xf numFmtId="0" fontId="0" fillId="9" borderId="27" xfId="0" applyFill="1" applyBorder="1" applyAlignment="1" applyProtection="1">
      <alignment horizontal="center"/>
      <protection hidden="1"/>
    </xf>
    <xf numFmtId="0" fontId="0" fillId="9" borderId="26" xfId="0" applyFill="1" applyBorder="1" applyAlignment="1" applyProtection="1">
      <alignment horizontal="right"/>
      <protection hidden="1"/>
    </xf>
    <xf numFmtId="0" fontId="0" fillId="9" borderId="26" xfId="0" quotePrefix="1" applyFill="1" applyBorder="1" applyAlignment="1" applyProtection="1">
      <alignment horizontal="center"/>
      <protection hidden="1"/>
    </xf>
    <xf numFmtId="0" fontId="0" fillId="9" borderId="8" xfId="0" quotePrefix="1" applyFill="1" applyBorder="1" applyAlignment="1" applyProtection="1">
      <alignment horizontal="center"/>
      <protection hidden="1"/>
    </xf>
    <xf numFmtId="9" fontId="0" fillId="9" borderId="0" xfId="2" applyFont="1" applyFill="1" applyProtection="1">
      <protection hidden="1"/>
    </xf>
    <xf numFmtId="3" fontId="0" fillId="9" borderId="8" xfId="0" applyNumberFormat="1" applyFill="1" applyBorder="1" applyProtection="1">
      <protection hidden="1"/>
    </xf>
    <xf numFmtId="1" fontId="0" fillId="9" borderId="0" xfId="0" applyNumberFormat="1" applyFill="1" applyAlignment="1" applyProtection="1">
      <alignment horizontal="center"/>
      <protection hidden="1"/>
    </xf>
    <xf numFmtId="3" fontId="0" fillId="9" borderId="0" xfId="0" applyNumberFormat="1" applyFill="1" applyProtection="1">
      <protection hidden="1"/>
    </xf>
    <xf numFmtId="2" fontId="0" fillId="9" borderId="8" xfId="0" applyNumberFormat="1" applyFill="1" applyBorder="1" applyProtection="1">
      <protection hidden="1"/>
    </xf>
    <xf numFmtId="2" fontId="0" fillId="9" borderId="0" xfId="0" applyNumberFormat="1" applyFill="1" applyAlignment="1" applyProtection="1">
      <alignment horizontal="right"/>
      <protection hidden="1"/>
    </xf>
    <xf numFmtId="7" fontId="0" fillId="9" borderId="14" xfId="1" applyNumberFormat="1" applyFont="1" applyFill="1" applyBorder="1" applyAlignment="1" applyProtection="1">
      <alignment horizontal="center"/>
      <protection hidden="1"/>
    </xf>
    <xf numFmtId="7" fontId="0" fillId="9" borderId="27" xfId="1" applyNumberFormat="1" applyFont="1" applyFill="1" applyBorder="1" applyAlignment="1" applyProtection="1">
      <alignment horizontal="center"/>
      <protection hidden="1"/>
    </xf>
    <xf numFmtId="0" fontId="0" fillId="9" borderId="14" xfId="0" applyFill="1" applyBorder="1" applyAlignment="1" applyProtection="1">
      <alignment horizontal="right"/>
      <protection hidden="1"/>
    </xf>
    <xf numFmtId="1" fontId="0" fillId="9" borderId="7" xfId="0" applyNumberFormat="1" applyFill="1" applyBorder="1" applyAlignment="1" applyProtection="1">
      <alignment horizontal="center"/>
      <protection hidden="1"/>
    </xf>
    <xf numFmtId="0" fontId="0" fillId="9" borderId="7" xfId="0" applyFill="1" applyBorder="1" applyProtection="1">
      <protection hidden="1"/>
    </xf>
    <xf numFmtId="3" fontId="0" fillId="9" borderId="7" xfId="0" applyNumberFormat="1" applyFill="1" applyBorder="1" applyProtection="1">
      <protection hidden="1"/>
    </xf>
    <xf numFmtId="2" fontId="0" fillId="9" borderId="27" xfId="0" applyNumberFormat="1" applyFill="1" applyBorder="1" applyProtection="1">
      <protection hidden="1"/>
    </xf>
    <xf numFmtId="166" fontId="0" fillId="9" borderId="27" xfId="0" applyNumberFormat="1" applyFill="1" applyBorder="1" applyProtection="1">
      <protection hidden="1"/>
    </xf>
    <xf numFmtId="0" fontId="0" fillId="9" borderId="14" xfId="0" applyFill="1" applyBorder="1" applyProtection="1">
      <protection hidden="1"/>
    </xf>
    <xf numFmtId="0" fontId="0" fillId="9" borderId="27" xfId="0" applyFill="1" applyBorder="1" applyProtection="1">
      <protection hidden="1"/>
    </xf>
    <xf numFmtId="3" fontId="0" fillId="9" borderId="27" xfId="0" applyNumberFormat="1" applyFill="1" applyBorder="1" applyProtection="1">
      <protection hidden="1"/>
    </xf>
    <xf numFmtId="165" fontId="0" fillId="9" borderId="0" xfId="0" applyNumberFormat="1" applyFill="1" applyProtection="1">
      <protection hidden="1"/>
    </xf>
    <xf numFmtId="2" fontId="0" fillId="9" borderId="7" xfId="0" applyNumberFormat="1" applyFill="1" applyBorder="1" applyAlignment="1" applyProtection="1">
      <alignment horizontal="right"/>
      <protection hidden="1"/>
    </xf>
    <xf numFmtId="2" fontId="0" fillId="9" borderId="0" xfId="0" applyNumberFormat="1" applyFill="1" applyProtection="1">
      <protection hidden="1"/>
    </xf>
    <xf numFmtId="3" fontId="0" fillId="9" borderId="0" xfId="0" applyNumberFormat="1" applyFill="1" applyAlignment="1" applyProtection="1">
      <alignment horizontal="center"/>
      <protection hidden="1"/>
    </xf>
    <xf numFmtId="0" fontId="17" fillId="9" borderId="0" xfId="0" applyFont="1" applyFill="1" applyProtection="1">
      <protection hidden="1"/>
    </xf>
    <xf numFmtId="167" fontId="0" fillId="5" borderId="28" xfId="0" applyNumberFormat="1" applyFill="1" applyBorder="1" applyAlignment="1" applyProtection="1">
      <alignment horizontal="center"/>
      <protection hidden="1"/>
    </xf>
    <xf numFmtId="179" fontId="0" fillId="3" borderId="40" xfId="2" applyNumberFormat="1" applyFont="1" applyFill="1" applyBorder="1" applyAlignment="1" applyProtection="1">
      <alignment horizontal="center"/>
      <protection hidden="1"/>
    </xf>
    <xf numFmtId="0" fontId="12" fillId="0" borderId="2" xfId="0" applyFont="1" applyBorder="1" applyProtection="1">
      <protection hidden="1"/>
    </xf>
    <xf numFmtId="0" fontId="17" fillId="3" borderId="0" xfId="0" quotePrefix="1" applyFont="1" applyFill="1" applyAlignment="1" applyProtection="1">
      <alignment horizontal="left"/>
      <protection hidden="1"/>
    </xf>
    <xf numFmtId="0" fontId="16" fillId="3" borderId="6" xfId="0" applyFont="1" applyFill="1" applyBorder="1" applyAlignment="1" applyProtection="1">
      <alignment horizontal="center"/>
      <protection hidden="1"/>
    </xf>
    <xf numFmtId="14" fontId="14" fillId="3" borderId="6" xfId="0" applyNumberFormat="1"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6" xfId="0" applyFont="1" applyFill="1" applyBorder="1" applyAlignment="1" applyProtection="1">
      <alignment horizontal="left"/>
      <protection locked="0"/>
    </xf>
    <xf numFmtId="0" fontId="14" fillId="3" borderId="0" xfId="0" applyFont="1" applyFill="1" applyAlignment="1" applyProtection="1">
      <alignment horizontal="center"/>
      <protection locked="0"/>
    </xf>
    <xf numFmtId="0" fontId="14" fillId="0" borderId="6" xfId="0" applyFont="1" applyBorder="1" applyAlignment="1">
      <alignment horizontal="center"/>
    </xf>
    <xf numFmtId="0" fontId="0" fillId="3" borderId="6" xfId="0" quotePrefix="1" applyFill="1" applyBorder="1" applyAlignment="1">
      <alignment horizontal="center"/>
    </xf>
    <xf numFmtId="0" fontId="0" fillId="3" borderId="36" xfId="0" applyFill="1" applyBorder="1" applyAlignment="1">
      <alignment horizontal="center"/>
    </xf>
    <xf numFmtId="0" fontId="0" fillId="3" borderId="57" xfId="0" applyFill="1" applyBorder="1" applyAlignment="1">
      <alignment horizontal="center"/>
    </xf>
    <xf numFmtId="0" fontId="0" fillId="3" borderId="0" xfId="0" applyFill="1" applyAlignment="1">
      <alignment horizontal="center"/>
    </xf>
    <xf numFmtId="0" fontId="0" fillId="3" borderId="45" xfId="0" applyFill="1" applyBorder="1" applyAlignment="1">
      <alignment horizontal="center"/>
    </xf>
    <xf numFmtId="0" fontId="0" fillId="3" borderId="6" xfId="0" applyFill="1" applyBorder="1" applyAlignment="1">
      <alignment horizontal="center"/>
    </xf>
    <xf numFmtId="0" fontId="0" fillId="3" borderId="58" xfId="0" applyFill="1" applyBorder="1" applyAlignment="1">
      <alignment horizontal="center"/>
    </xf>
    <xf numFmtId="0" fontId="7" fillId="8" borderId="43" xfId="0" applyFont="1" applyFill="1" applyBorder="1" applyAlignment="1">
      <alignment horizontal="center"/>
    </xf>
    <xf numFmtId="0" fontId="7" fillId="8" borderId="36" xfId="0" applyFont="1" applyFill="1" applyBorder="1" applyAlignment="1">
      <alignment horizontal="center"/>
    </xf>
    <xf numFmtId="0" fontId="7" fillId="8" borderId="57" xfId="0" applyFont="1" applyFill="1" applyBorder="1" applyAlignment="1">
      <alignment horizontal="center"/>
    </xf>
    <xf numFmtId="0" fontId="7" fillId="8" borderId="33" xfId="0" quotePrefix="1" applyFont="1" applyFill="1" applyBorder="1" applyAlignment="1">
      <alignment horizontal="center"/>
    </xf>
    <xf numFmtId="0" fontId="7" fillId="8" borderId="56" xfId="0" quotePrefix="1" applyFont="1" applyFill="1" applyBorder="1" applyAlignment="1">
      <alignment horizontal="center"/>
    </xf>
    <xf numFmtId="0" fontId="7" fillId="8" borderId="50" xfId="0" quotePrefix="1" applyFont="1" applyFill="1" applyBorder="1" applyAlignment="1">
      <alignment horizontal="center"/>
    </xf>
    <xf numFmtId="0" fontId="0" fillId="3" borderId="36" xfId="0" quotePrefix="1" applyFill="1" applyBorder="1" applyAlignment="1">
      <alignment horizontal="center"/>
    </xf>
    <xf numFmtId="0" fontId="0" fillId="3" borderId="0" xfId="0" quotePrefix="1" applyFill="1" applyAlignment="1">
      <alignment horizontal="center"/>
    </xf>
    <xf numFmtId="14" fontId="12" fillId="0" borderId="2" xfId="0" quotePrefix="1" applyNumberFormat="1" applyFont="1" applyBorder="1" applyAlignment="1" applyProtection="1">
      <alignment horizontal="left"/>
      <protection hidden="1"/>
    </xf>
    <xf numFmtId="14" fontId="12" fillId="0" borderId="3" xfId="0" quotePrefix="1" applyNumberFormat="1" applyFont="1" applyBorder="1" applyAlignment="1" applyProtection="1">
      <alignment horizontal="left"/>
      <protection hidden="1"/>
    </xf>
    <xf numFmtId="0" fontId="18" fillId="3" borderId="0" xfId="0" applyFont="1" applyFill="1" applyAlignment="1">
      <alignment horizontal="center"/>
    </xf>
    <xf numFmtId="0" fontId="11" fillId="3" borderId="2" xfId="0" quotePrefix="1" applyFont="1" applyFill="1" applyBorder="1" applyAlignment="1">
      <alignment horizontal="center"/>
    </xf>
    <xf numFmtId="0" fontId="11" fillId="3" borderId="20" xfId="0" quotePrefix="1" applyFont="1" applyFill="1" applyBorder="1" applyAlignment="1">
      <alignment horizontal="center"/>
    </xf>
    <xf numFmtId="0" fontId="11" fillId="3" borderId="3" xfId="0" quotePrefix="1" applyFont="1"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59" xfId="0" applyFill="1" applyBorder="1" applyAlignment="1">
      <alignment horizontal="center" vertical="center" wrapText="1"/>
    </xf>
    <xf numFmtId="0" fontId="0" fillId="4" borderId="60" xfId="0" applyFill="1" applyBorder="1" applyAlignment="1">
      <alignment horizontal="center" vertical="center" wrapText="1"/>
    </xf>
    <xf numFmtId="167" fontId="0" fillId="5" borderId="52" xfId="1" applyNumberFormat="1" applyFont="1" applyFill="1" applyBorder="1" applyAlignment="1" applyProtection="1">
      <alignment horizontal="center"/>
      <protection hidden="1"/>
    </xf>
    <xf numFmtId="167" fontId="0" fillId="5" borderId="54" xfId="1" applyNumberFormat="1" applyFont="1" applyFill="1" applyBorder="1" applyAlignment="1" applyProtection="1">
      <alignment horizontal="center"/>
      <protection hidden="1"/>
    </xf>
    <xf numFmtId="0" fontId="0" fillId="0" borderId="0" xfId="0" applyAlignment="1">
      <alignment horizontal="center"/>
    </xf>
    <xf numFmtId="0" fontId="0" fillId="0" borderId="6" xfId="0" applyBorder="1" applyAlignment="1">
      <alignment horizontal="center"/>
    </xf>
    <xf numFmtId="0" fontId="0" fillId="0" borderId="36" xfId="0"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0</xdr:row>
      <xdr:rowOff>123825</xdr:rowOff>
    </xdr:from>
    <xdr:to>
      <xdr:col>14</xdr:col>
      <xdr:colOff>152400</xdr:colOff>
      <xdr:row>33</xdr:row>
      <xdr:rowOff>133350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3924"/>
        <a:stretch/>
      </xdr:blipFill>
      <xdr:spPr bwMode="auto">
        <a:xfrm>
          <a:off x="495300" y="123825"/>
          <a:ext cx="8191500" cy="629602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9</xdr:col>
      <xdr:colOff>590550</xdr:colOff>
      <xdr:row>14</xdr:row>
      <xdr:rowOff>66675</xdr:rowOff>
    </xdr:from>
    <xdr:to>
      <xdr:col>12</xdr:col>
      <xdr:colOff>304800</xdr:colOff>
      <xdr:row>19</xdr:row>
      <xdr:rowOff>95250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39" t="30378" r="13023" b="54651"/>
        <a:stretch/>
      </xdr:blipFill>
      <xdr:spPr bwMode="auto">
        <a:xfrm>
          <a:off x="6076950" y="2733675"/>
          <a:ext cx="1543050" cy="98107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xdr:from>
      <xdr:col>10</xdr:col>
      <xdr:colOff>95250</xdr:colOff>
      <xdr:row>11</xdr:row>
      <xdr:rowOff>38100</xdr:rowOff>
    </xdr:from>
    <xdr:to>
      <xdr:col>12</xdr:col>
      <xdr:colOff>295275</xdr:colOff>
      <xdr:row>12</xdr:row>
      <xdr:rowOff>114300</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191250" y="213360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11</xdr:row>
      <xdr:rowOff>66675</xdr:rowOff>
    </xdr:from>
    <xdr:ext cx="1258614" cy="227626"/>
    <xdr:sp macro="[0]!ThisWorkbook.SR_Fees" textlink="">
      <xdr:nvSpPr>
        <xdr:cNvPr id="4" name="TextBox 3">
          <a:extLst>
            <a:ext uri="{FF2B5EF4-FFF2-40B4-BE49-F238E27FC236}">
              <a16:creationId xmlns:a16="http://schemas.microsoft.com/office/drawing/2014/main" id="{00000000-0008-0000-0000-000004000000}"/>
            </a:ext>
          </a:extLst>
        </xdr:cNvPr>
        <xdr:cNvSpPr txBox="1"/>
      </xdr:nvSpPr>
      <xdr:spPr>
        <a:xfrm>
          <a:off x="6353175" y="216217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spAutoFit/>
        </a:bodyPr>
        <a:lstStyle/>
        <a:p>
          <a:r>
            <a:rPr lang="en-US" sz="1100"/>
            <a:t>Sky</a:t>
          </a:r>
          <a:r>
            <a:rPr lang="en-US" sz="1100" baseline="0"/>
            <a:t> Ranch Services</a:t>
          </a:r>
          <a:endParaRPr lang="en-US" sz="1100"/>
        </a:p>
      </xdr:txBody>
    </xdr:sp>
    <xdr:clientData/>
  </xdr:oneCellAnchor>
  <xdr:twoCellAnchor>
    <xdr:from>
      <xdr:col>10</xdr:col>
      <xdr:colOff>95250</xdr:colOff>
      <xdr:row>12</xdr:row>
      <xdr:rowOff>171450</xdr:rowOff>
    </xdr:from>
    <xdr:to>
      <xdr:col>12</xdr:col>
      <xdr:colOff>295275</xdr:colOff>
      <xdr:row>14</xdr:row>
      <xdr:rowOff>57150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6191250" y="2457450"/>
          <a:ext cx="1419225" cy="2667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10</xdr:col>
      <xdr:colOff>257175</xdr:colOff>
      <xdr:row>13</xdr:row>
      <xdr:rowOff>9525</xdr:rowOff>
    </xdr:from>
    <xdr:ext cx="1258614" cy="227626"/>
    <xdr:sp macro="[0]!ThisWorkbook.Other_Areas" textlink="">
      <xdr:nvSpPr>
        <xdr:cNvPr id="8" name="TextBox 7">
          <a:extLst>
            <a:ext uri="{FF2B5EF4-FFF2-40B4-BE49-F238E27FC236}">
              <a16:creationId xmlns:a16="http://schemas.microsoft.com/office/drawing/2014/main" id="{00000000-0008-0000-0000-000008000000}"/>
            </a:ext>
          </a:extLst>
        </xdr:cNvPr>
        <xdr:cNvSpPr txBox="1"/>
      </xdr:nvSpPr>
      <xdr:spPr>
        <a:xfrm>
          <a:off x="6353175" y="2486025"/>
          <a:ext cx="1258614"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tIns="27432" bIns="27432" rtlCol="0" anchor="t">
          <a:noAutofit/>
        </a:bodyPr>
        <a:lstStyle/>
        <a:p>
          <a:pPr algn="ctr"/>
          <a:r>
            <a:rPr lang="en-US" sz="1100" baseline="0"/>
            <a:t>Other Service Areas</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723750</xdr:colOff>
      <xdr:row>0</xdr:row>
      <xdr:rowOff>168089</xdr:rowOff>
    </xdr:from>
    <xdr:to>
      <xdr:col>15</xdr:col>
      <xdr:colOff>220735</xdr:colOff>
      <xdr:row>4</xdr:row>
      <xdr:rowOff>168088</xdr:rowOff>
    </xdr:to>
    <xdr:pic>
      <xdr:nvPicPr>
        <xdr:cNvPr id="2" name="Picture 1">
          <a:extLst>
            <a:ext uri="{FF2B5EF4-FFF2-40B4-BE49-F238E27FC236}">
              <a16:creationId xmlns:a16="http://schemas.microsoft.com/office/drawing/2014/main" id="{C014EC7B-617E-43D0-926E-0089762FE0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81475" y="168089"/>
          <a:ext cx="3183160" cy="1142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2381</xdr:rowOff>
    </xdr:from>
    <xdr:to>
      <xdr:col>17</xdr:col>
      <xdr:colOff>488156</xdr:colOff>
      <xdr:row>0</xdr:row>
      <xdr:rowOff>276701</xdr:rowOff>
    </xdr:to>
    <xdr:sp macro="" textlink="">
      <xdr:nvSpPr>
        <xdr:cNvPr id="3" name="Rectangle 2">
          <a:extLst>
            <a:ext uri="{FF2B5EF4-FFF2-40B4-BE49-F238E27FC236}">
              <a16:creationId xmlns:a16="http://schemas.microsoft.com/office/drawing/2014/main" id="{0C8F09CD-DBBC-4B09-89EB-B05652BC533F}"/>
            </a:ext>
          </a:extLst>
        </xdr:cNvPr>
        <xdr:cNvSpPr/>
      </xdr:nvSpPr>
      <xdr:spPr>
        <a:xfrm>
          <a:off x="381000" y="2381"/>
          <a:ext cx="11648281"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388939</xdr:colOff>
      <xdr:row>83</xdr:row>
      <xdr:rowOff>63500</xdr:rowOff>
    </xdr:from>
    <xdr:to>
      <xdr:col>17</xdr:col>
      <xdr:colOff>468314</xdr:colOff>
      <xdr:row>84</xdr:row>
      <xdr:rowOff>153670</xdr:rowOff>
    </xdr:to>
    <xdr:sp macro="" textlink="">
      <xdr:nvSpPr>
        <xdr:cNvPr id="11" name="Rectangle 10">
          <a:extLst>
            <a:ext uri="{FF2B5EF4-FFF2-40B4-BE49-F238E27FC236}">
              <a16:creationId xmlns:a16="http://schemas.microsoft.com/office/drawing/2014/main" id="{A09C78E1-EB4A-405C-B136-71B190358F3B}"/>
            </a:ext>
          </a:extLst>
        </xdr:cNvPr>
        <xdr:cNvSpPr/>
      </xdr:nvSpPr>
      <xdr:spPr>
        <a:xfrm>
          <a:off x="388939" y="11624469"/>
          <a:ext cx="11620500" cy="272732"/>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9176</xdr:colOff>
      <xdr:row>0</xdr:row>
      <xdr:rowOff>2</xdr:rowOff>
    </xdr:from>
    <xdr:to>
      <xdr:col>1</xdr:col>
      <xdr:colOff>50663</xdr:colOff>
      <xdr:row>94</xdr:row>
      <xdr:rowOff>89651</xdr:rowOff>
    </xdr:to>
    <xdr:sp macro="" textlink="">
      <xdr:nvSpPr>
        <xdr:cNvPr id="13" name="Rectangle 12">
          <a:extLst>
            <a:ext uri="{FF2B5EF4-FFF2-40B4-BE49-F238E27FC236}">
              <a16:creationId xmlns:a16="http://schemas.microsoft.com/office/drawing/2014/main" id="{97065845-3410-4AF0-9AF0-06005669E9E1}"/>
            </a:ext>
          </a:extLst>
        </xdr:cNvPr>
        <xdr:cNvSpPr/>
      </xdr:nvSpPr>
      <xdr:spPr>
        <a:xfrm rot="5400000">
          <a:off x="-7774979" y="7784157"/>
          <a:ext cx="15856325" cy="288016"/>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261199</xdr:colOff>
      <xdr:row>0</xdr:row>
      <xdr:rowOff>0</xdr:rowOff>
    </xdr:from>
    <xdr:to>
      <xdr:col>17</xdr:col>
      <xdr:colOff>535519</xdr:colOff>
      <xdr:row>94</xdr:row>
      <xdr:rowOff>89648</xdr:rowOff>
    </xdr:to>
    <xdr:sp macro="" textlink="">
      <xdr:nvSpPr>
        <xdr:cNvPr id="14" name="Rectangle 13">
          <a:extLst>
            <a:ext uri="{FF2B5EF4-FFF2-40B4-BE49-F238E27FC236}">
              <a16:creationId xmlns:a16="http://schemas.microsoft.com/office/drawing/2014/main" id="{BFE9E0B1-FC68-4D33-A786-D4EA3FFBF4F8}"/>
            </a:ext>
          </a:extLst>
        </xdr:cNvPr>
        <xdr:cNvSpPr/>
      </xdr:nvSpPr>
      <xdr:spPr>
        <a:xfrm rot="5400000">
          <a:off x="4662197" y="7791002"/>
          <a:ext cx="15856324" cy="27432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321469</xdr:colOff>
      <xdr:row>52</xdr:row>
      <xdr:rowOff>133350</xdr:rowOff>
    </xdr:from>
    <xdr:to>
      <xdr:col>17</xdr:col>
      <xdr:colOff>416720</xdr:colOff>
      <xdr:row>53</xdr:row>
      <xdr:rowOff>147320</xdr:rowOff>
    </xdr:to>
    <xdr:sp macro="" textlink="">
      <xdr:nvSpPr>
        <xdr:cNvPr id="15" name="Rectangle 14">
          <a:extLst>
            <a:ext uri="{FF2B5EF4-FFF2-40B4-BE49-F238E27FC236}">
              <a16:creationId xmlns:a16="http://schemas.microsoft.com/office/drawing/2014/main" id="{EC3D1B8E-ED1B-4181-A02C-EF5A82171686}"/>
            </a:ext>
          </a:extLst>
        </xdr:cNvPr>
        <xdr:cNvSpPr/>
      </xdr:nvSpPr>
      <xdr:spPr>
        <a:xfrm>
          <a:off x="321469" y="5415756"/>
          <a:ext cx="11636376" cy="275908"/>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388938</xdr:colOff>
      <xdr:row>66</xdr:row>
      <xdr:rowOff>31750</xdr:rowOff>
    </xdr:from>
    <xdr:to>
      <xdr:col>17</xdr:col>
      <xdr:colOff>456406</xdr:colOff>
      <xdr:row>67</xdr:row>
      <xdr:rowOff>121920</xdr:rowOff>
    </xdr:to>
    <xdr:sp macro="" textlink="">
      <xdr:nvSpPr>
        <xdr:cNvPr id="16" name="Rectangle 15">
          <a:extLst>
            <a:ext uri="{FF2B5EF4-FFF2-40B4-BE49-F238E27FC236}">
              <a16:creationId xmlns:a16="http://schemas.microsoft.com/office/drawing/2014/main" id="{45432370-B8A4-453C-B7BD-2B3FD9294453}"/>
            </a:ext>
          </a:extLst>
        </xdr:cNvPr>
        <xdr:cNvSpPr/>
      </xdr:nvSpPr>
      <xdr:spPr>
        <a:xfrm>
          <a:off x="388938" y="8096250"/>
          <a:ext cx="11608593" cy="272733"/>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12</xdr:col>
      <xdr:colOff>291353</xdr:colOff>
      <xdr:row>1</xdr:row>
      <xdr:rowOff>0</xdr:rowOff>
    </xdr:from>
    <xdr:to>
      <xdr:col>16</xdr:col>
      <xdr:colOff>415867</xdr:colOff>
      <xdr:row>4</xdr:row>
      <xdr:rowOff>281827</xdr:rowOff>
    </xdr:to>
    <xdr:pic>
      <xdr:nvPicPr>
        <xdr:cNvPr id="19" name="Picture 18">
          <a:extLst>
            <a:ext uri="{FF2B5EF4-FFF2-40B4-BE49-F238E27FC236}">
              <a16:creationId xmlns:a16="http://schemas.microsoft.com/office/drawing/2014/main" id="{4E15958E-EC6F-4FFF-A71B-854FDFCEEC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11235" y="291353"/>
          <a:ext cx="3183720" cy="1155886"/>
        </a:xfrm>
        <a:prstGeom prst="rect">
          <a:avLst/>
        </a:prstGeom>
      </xdr:spPr>
    </xdr:pic>
    <xdr:clientData/>
  </xdr:twoCellAnchor>
  <xdr:twoCellAnchor>
    <xdr:from>
      <xdr:col>0</xdr:col>
      <xdr:colOff>243262</xdr:colOff>
      <xdr:row>73</xdr:row>
      <xdr:rowOff>172057</xdr:rowOff>
    </xdr:from>
    <xdr:to>
      <xdr:col>17</xdr:col>
      <xdr:colOff>465512</xdr:colOff>
      <xdr:row>75</xdr:row>
      <xdr:rowOff>71727</xdr:rowOff>
    </xdr:to>
    <xdr:sp macro="" textlink="">
      <xdr:nvSpPr>
        <xdr:cNvPr id="20" name="Rectangle 19">
          <a:extLst>
            <a:ext uri="{FF2B5EF4-FFF2-40B4-BE49-F238E27FC236}">
              <a16:creationId xmlns:a16="http://schemas.microsoft.com/office/drawing/2014/main" id="{00CE6F75-677E-4A87-9691-AB22172540D6}"/>
            </a:ext>
          </a:extLst>
        </xdr:cNvPr>
        <xdr:cNvSpPr/>
      </xdr:nvSpPr>
      <xdr:spPr>
        <a:xfrm>
          <a:off x="243262" y="11635675"/>
          <a:ext cx="12414250"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179294</xdr:colOff>
      <xdr:row>93</xdr:row>
      <xdr:rowOff>0</xdr:rowOff>
    </xdr:from>
    <xdr:to>
      <xdr:col>17</xdr:col>
      <xdr:colOff>532862</xdr:colOff>
      <xdr:row>94</xdr:row>
      <xdr:rowOff>90170</xdr:rowOff>
    </xdr:to>
    <xdr:sp macro="" textlink="">
      <xdr:nvSpPr>
        <xdr:cNvPr id="21" name="Rectangle 20">
          <a:extLst>
            <a:ext uri="{FF2B5EF4-FFF2-40B4-BE49-F238E27FC236}">
              <a16:creationId xmlns:a16="http://schemas.microsoft.com/office/drawing/2014/main" id="{7CC30FE5-9F19-4107-9CE4-25C0AFE238D4}"/>
            </a:ext>
          </a:extLst>
        </xdr:cNvPr>
        <xdr:cNvSpPr/>
      </xdr:nvSpPr>
      <xdr:spPr>
        <a:xfrm>
          <a:off x="179294" y="15576176"/>
          <a:ext cx="12545568" cy="280670"/>
        </a:xfrm>
        <a:prstGeom prst="rect">
          <a:avLst/>
        </a:prstGeom>
        <a:solidFill>
          <a:schemeClr val="tx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1</xdr:rowOff>
    </xdr:from>
    <xdr:to>
      <xdr:col>20</xdr:col>
      <xdr:colOff>446151</xdr:colOff>
      <xdr:row>35</xdr:row>
      <xdr:rowOff>133351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b="30265"/>
        <a:stretch/>
      </xdr:blipFill>
      <xdr:spPr>
        <a:xfrm>
          <a:off x="152400" y="1"/>
          <a:ext cx="12190476" cy="6800850"/>
        </a:xfrm>
        <a:prstGeom prst="rect">
          <a:avLst/>
        </a:prstGeom>
      </xdr:spPr>
    </xdr:pic>
    <xdr:clientData/>
  </xdr:twoCellAnchor>
  <xdr:oneCellAnchor>
    <xdr:from>
      <xdr:col>3</xdr:col>
      <xdr:colOff>571499</xdr:colOff>
      <xdr:row>12</xdr:row>
      <xdr:rowOff>104774</xdr:rowOff>
    </xdr:from>
    <xdr:ext cx="8505825" cy="4324351"/>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05024" y="2390774"/>
          <a:ext cx="8505825" cy="43243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a:p>
          <a:pPr algn="l"/>
          <a:r>
            <a:rPr lang="en-US" sz="2000" b="0" u="none">
              <a:solidFill>
                <a:schemeClr val="accent1"/>
              </a:solidFill>
            </a:rPr>
            <a:t>Service Fees Outside The</a:t>
          </a:r>
          <a:r>
            <a:rPr lang="en-US" sz="2000" b="0" u="none" baseline="0">
              <a:solidFill>
                <a:schemeClr val="accent1"/>
              </a:solidFill>
            </a:rPr>
            <a:t> Sky Ranch Community</a:t>
          </a:r>
          <a:endParaRPr lang="en-US" sz="2000" b="0" u="none">
            <a:solidFill>
              <a:schemeClr val="accent1"/>
            </a:solidFill>
          </a:endParaRPr>
        </a:p>
        <a:p>
          <a:endParaRPr lang="en-US" sz="1100"/>
        </a:p>
        <a:p>
          <a:r>
            <a:rPr lang="en-US" sz="1100"/>
            <a:t>One time connection</a:t>
          </a:r>
          <a:r>
            <a:rPr lang="en-US" sz="1100" baseline="0"/>
            <a:t> fees (Tap Fees) and monthly service fees (Usage Fees) for  areas outside the Sky Ranch Community are calculated on a case-by-case basis. </a:t>
          </a:r>
        </a:p>
        <a:p>
          <a:endParaRPr lang="en-US" sz="1100" baseline="0"/>
        </a:p>
        <a:p>
          <a:r>
            <a:rPr lang="en-US" sz="1100" baseline="0"/>
            <a:t>One can get a idea of the potential range of fees by using the Sky Ranch Service Fee Calculator with an understanding that the Water Resources Changes will be very similar for all communities. However, Potable Water System Charges, Fire Protection Charges, and Sewer System Charges are dependent on the location and configuration of each unique service area. </a:t>
          </a:r>
        </a:p>
        <a:p>
          <a:endParaRPr lang="en-US" sz="1100" baseline="0"/>
        </a:p>
        <a:p>
          <a:r>
            <a:rPr lang="en-US" sz="1100" baseline="0"/>
            <a:t>Select "Contact Us" to request a specific service fee estimate for your area. </a:t>
          </a:r>
          <a:endParaRPr lang="en-US" sz="1100"/>
        </a:p>
      </xdr:txBody>
    </xdr:sp>
    <xdr:clientData/>
  </xdr:oneCellAnchor>
  <xdr:oneCellAnchor>
    <xdr:from>
      <xdr:col>9</xdr:col>
      <xdr:colOff>238124</xdr:colOff>
      <xdr:row>33</xdr:row>
      <xdr:rowOff>66674</xdr:rowOff>
    </xdr:from>
    <xdr:ext cx="1962151" cy="227626"/>
    <xdr:sp macro="[0]!ThisWorkbook.SR_Fees" textlink="">
      <xdr:nvSpPr>
        <xdr:cNvPr id="4" name="TextBox 3">
          <a:extLst>
            <a:ext uri="{FF2B5EF4-FFF2-40B4-BE49-F238E27FC236}">
              <a16:creationId xmlns:a16="http://schemas.microsoft.com/office/drawing/2014/main" id="{00000000-0008-0000-0200-000004000000}"/>
            </a:ext>
          </a:extLst>
        </xdr:cNvPr>
        <xdr:cNvSpPr txBox="1"/>
      </xdr:nvSpPr>
      <xdr:spPr>
        <a:xfrm>
          <a:off x="5429249" y="6353174"/>
          <a:ext cx="1962151" cy="227626"/>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tIns="27432" bIns="27432" rtlCol="0" anchor="t">
          <a:spAutoFit/>
        </a:bodyPr>
        <a:lstStyle/>
        <a:p>
          <a:r>
            <a:rPr lang="en-US" sz="1100"/>
            <a:t>Sky</a:t>
          </a:r>
          <a:r>
            <a:rPr lang="en-US" sz="1100" baseline="0"/>
            <a:t> Ranch Services Calculator</a:t>
          </a:r>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opLeftCell="B1" workbookViewId="0">
      <selection activeCell="P12" sqref="P12"/>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1F5AE-2336-42EE-827E-DB13131760EA}">
  <sheetPr codeName="Sheet7"/>
  <dimension ref="B1:Q61"/>
  <sheetViews>
    <sheetView showGridLines="0" tabSelected="1" topLeftCell="A4" zoomScale="85" zoomScaleNormal="85" workbookViewId="0">
      <selection activeCell="V24" sqref="V24"/>
    </sheetView>
  </sheetViews>
  <sheetFormatPr defaultColWidth="9" defaultRowHeight="15" x14ac:dyDescent="0.25"/>
  <cols>
    <col min="1" max="1" width="1.140625" style="164" customWidth="1"/>
    <col min="2" max="2" width="5.7109375" style="164" hidden="1" customWidth="1"/>
    <col min="3" max="4" width="2.5703125" style="164" customWidth="1"/>
    <col min="5" max="6" width="10.7109375" style="164" customWidth="1"/>
    <col min="7" max="7" width="7.7109375" style="164" customWidth="1"/>
    <col min="8" max="8" width="11.7109375" style="164" customWidth="1"/>
    <col min="9" max="9" width="13.7109375" style="164" customWidth="1"/>
    <col min="10" max="10" width="12.5703125" style="164" customWidth="1"/>
    <col min="11" max="11" width="9.140625" style="164" customWidth="1"/>
    <col min="12" max="12" width="5.85546875" style="164" customWidth="1"/>
    <col min="13" max="13" width="3.42578125" style="164" customWidth="1"/>
    <col min="14" max="14" width="9.28515625" style="164" customWidth="1"/>
    <col min="15" max="15" width="8.140625" style="164" customWidth="1"/>
    <col min="16" max="16" width="9.5703125" style="164" customWidth="1"/>
    <col min="17" max="17" width="2.7109375" style="164" customWidth="1"/>
    <col min="18" max="22" width="9" style="164"/>
    <col min="23" max="23" width="11.28515625" style="164" customWidth="1"/>
    <col min="24" max="24" width="11.85546875" style="164" customWidth="1"/>
    <col min="25" max="25" width="13" style="164" customWidth="1"/>
    <col min="26" max="26" width="10.7109375" style="164" customWidth="1"/>
    <col min="27" max="27" width="12" style="164" customWidth="1"/>
    <col min="28" max="28" width="4.7109375" style="164" customWidth="1"/>
    <col min="29" max="30" width="15.7109375" style="164" customWidth="1"/>
    <col min="31" max="31" width="4.7109375" style="164" customWidth="1"/>
    <col min="32" max="33" width="15.7109375" style="164" customWidth="1"/>
    <col min="34" max="34" width="4.7109375" style="164" customWidth="1"/>
    <col min="35" max="35" width="23.140625" style="164" customWidth="1"/>
    <col min="36" max="39" width="12.7109375" style="164" customWidth="1"/>
    <col min="40" max="40" width="13.42578125" style="164" customWidth="1"/>
    <col min="41" max="41" width="36.7109375" style="164" customWidth="1"/>
    <col min="42" max="43" width="9" style="164"/>
    <col min="44" max="44" width="4.7109375" style="164" customWidth="1"/>
    <col min="45" max="46" width="15.7109375" style="164" customWidth="1"/>
    <col min="47" max="47" width="10.28515625" style="164" customWidth="1"/>
    <col min="48" max="48" width="19.42578125" style="164" customWidth="1"/>
    <col min="49" max="49" width="18" style="164" customWidth="1"/>
    <col min="50" max="50" width="4.7109375" style="164" customWidth="1"/>
    <col min="51" max="51" width="9" style="164"/>
    <col min="52" max="52" width="12.5703125" style="164" customWidth="1"/>
    <col min="53" max="53" width="4.7109375" style="164" customWidth="1"/>
    <col min="54" max="54" width="9" style="164"/>
    <col min="55" max="55" width="11.85546875" style="164" customWidth="1"/>
    <col min="56" max="58" width="9" style="164"/>
    <col min="59" max="59" width="30.140625" style="164" customWidth="1"/>
    <col min="60" max="16384" width="9" style="164"/>
  </cols>
  <sheetData>
    <row r="1" spans="3:17" ht="22.5" customHeight="1" x14ac:dyDescent="0.25">
      <c r="C1" s="165"/>
      <c r="D1" s="165"/>
      <c r="E1" s="165"/>
      <c r="F1" s="165"/>
      <c r="G1" s="165"/>
      <c r="H1" s="165"/>
      <c r="I1" s="165"/>
      <c r="J1" s="165"/>
      <c r="K1" s="165"/>
      <c r="L1" s="165"/>
      <c r="M1" s="165"/>
      <c r="N1" s="165"/>
      <c r="O1" s="165"/>
      <c r="P1" s="165"/>
      <c r="Q1" s="165"/>
    </row>
    <row r="2" spans="3:17" ht="22.5" customHeight="1" x14ac:dyDescent="0.25">
      <c r="C2" s="165"/>
      <c r="F2" s="179"/>
      <c r="G2" s="179"/>
      <c r="I2" s="179"/>
      <c r="J2" s="179"/>
      <c r="K2" s="179"/>
      <c r="L2" s="179"/>
      <c r="M2" s="179"/>
      <c r="N2" s="179"/>
      <c r="O2" s="179"/>
      <c r="P2" s="179"/>
      <c r="Q2" s="179"/>
    </row>
    <row r="3" spans="3:17" ht="22.5" customHeight="1" x14ac:dyDescent="0.25">
      <c r="C3" s="165"/>
      <c r="F3" s="179"/>
      <c r="G3" s="179"/>
      <c r="I3" s="179"/>
      <c r="J3" s="179"/>
      <c r="K3" s="179"/>
      <c r="L3" s="179"/>
      <c r="M3" s="179"/>
      <c r="N3" s="179"/>
      <c r="O3" s="179"/>
      <c r="P3" s="179"/>
      <c r="Q3" s="179"/>
    </row>
    <row r="4" spans="3:17" ht="22.5" customHeight="1" x14ac:dyDescent="0.25">
      <c r="C4" s="165"/>
      <c r="F4" s="179"/>
      <c r="G4" s="179"/>
      <c r="I4" s="179"/>
      <c r="J4" s="179"/>
      <c r="K4" s="179"/>
      <c r="L4" s="179"/>
      <c r="M4" s="179"/>
      <c r="N4" s="179"/>
      <c r="O4" s="179"/>
      <c r="P4" s="179"/>
      <c r="Q4" s="179"/>
    </row>
    <row r="5" spans="3:17" ht="22.5" customHeight="1" x14ac:dyDescent="0.25">
      <c r="C5" s="165"/>
      <c r="F5" s="179"/>
      <c r="G5" s="179"/>
      <c r="I5" s="179"/>
      <c r="J5" s="179"/>
      <c r="K5" s="179"/>
      <c r="L5" s="179"/>
      <c r="M5" s="179"/>
      <c r="N5" s="179"/>
      <c r="O5" s="179"/>
      <c r="P5" s="179"/>
      <c r="Q5" s="179"/>
    </row>
    <row r="6" spans="3:17" ht="22.5" customHeight="1" x14ac:dyDescent="0.25">
      <c r="C6" s="165"/>
      <c r="F6" s="179"/>
      <c r="G6" s="179"/>
      <c r="I6" s="179"/>
      <c r="J6" s="179"/>
      <c r="K6" s="179"/>
      <c r="L6" s="179"/>
      <c r="M6" s="179"/>
      <c r="N6" s="179"/>
      <c r="O6" s="179"/>
      <c r="P6" s="179"/>
      <c r="Q6" s="179"/>
    </row>
    <row r="7" spans="3:17" ht="45" customHeight="1" x14ac:dyDescent="0.4">
      <c r="C7" s="167"/>
      <c r="D7" s="168"/>
      <c r="G7" s="181" t="s">
        <v>253</v>
      </c>
      <c r="L7" s="180"/>
      <c r="M7" s="180"/>
      <c r="N7" s="180"/>
      <c r="O7" s="180"/>
      <c r="P7" s="180"/>
      <c r="Q7" s="180"/>
    </row>
    <row r="8" spans="3:17" ht="18.75" x14ac:dyDescent="0.3">
      <c r="C8" s="182"/>
      <c r="D8" s="168"/>
      <c r="E8" s="198"/>
      <c r="F8" s="183"/>
      <c r="G8" s="198"/>
      <c r="H8" s="237" t="s">
        <v>292</v>
      </c>
      <c r="J8" s="184"/>
      <c r="K8" s="184"/>
      <c r="L8" s="184"/>
      <c r="M8" s="184"/>
      <c r="N8" s="184"/>
      <c r="O8" s="184"/>
      <c r="P8" s="184"/>
      <c r="Q8" s="168"/>
    </row>
    <row r="9" spans="3:17" ht="18.75" x14ac:dyDescent="0.3">
      <c r="C9" s="185"/>
      <c r="D9" s="168"/>
      <c r="E9" s="199"/>
      <c r="F9" s="200"/>
      <c r="G9" s="200"/>
      <c r="H9" s="200"/>
      <c r="I9" s="200"/>
      <c r="J9" s="201"/>
      <c r="K9" s="202"/>
      <c r="L9" s="203"/>
      <c r="M9" s="200"/>
      <c r="N9" s="200"/>
      <c r="O9" s="200"/>
      <c r="P9" s="200"/>
      <c r="Q9" s="168"/>
    </row>
    <row r="10" spans="3:17" ht="18.75" x14ac:dyDescent="0.3">
      <c r="C10" s="185"/>
      <c r="D10" s="168"/>
      <c r="E10" s="199" t="s">
        <v>247</v>
      </c>
      <c r="F10" s="314"/>
      <c r="G10" s="315"/>
      <c r="H10" s="200"/>
      <c r="I10" s="200"/>
      <c r="J10" s="204"/>
      <c r="K10" s="205"/>
      <c r="L10" s="206"/>
      <c r="M10" s="200"/>
      <c r="N10" s="200"/>
      <c r="O10" s="200"/>
      <c r="P10" s="200"/>
      <c r="Q10" s="168"/>
    </row>
    <row r="11" spans="3:17" ht="20.45" customHeight="1" x14ac:dyDescent="0.3">
      <c r="C11" s="185"/>
      <c r="D11" s="168"/>
      <c r="E11" s="199"/>
      <c r="F11" s="200"/>
      <c r="G11" s="200"/>
      <c r="H11" s="200"/>
      <c r="I11" s="200"/>
      <c r="J11" s="200"/>
      <c r="K11" s="200"/>
      <c r="L11" s="200"/>
      <c r="M11" s="200"/>
      <c r="N11" s="200"/>
      <c r="O11" s="200"/>
      <c r="P11" s="200"/>
      <c r="Q11" s="168"/>
    </row>
    <row r="12" spans="3:17" ht="20.45" customHeight="1" x14ac:dyDescent="0.3">
      <c r="C12" s="185"/>
      <c r="D12" s="168"/>
      <c r="E12" s="199" t="s">
        <v>248</v>
      </c>
      <c r="F12" s="207"/>
      <c r="G12" s="316"/>
      <c r="H12" s="316"/>
      <c r="I12" s="316"/>
      <c r="J12" s="316"/>
      <c r="K12" s="316"/>
      <c r="L12" s="316"/>
      <c r="M12" s="198"/>
      <c r="N12" s="199"/>
      <c r="O12" s="317"/>
      <c r="P12" s="317"/>
      <c r="Q12" s="168"/>
    </row>
    <row r="13" spans="3:17" ht="18.75" x14ac:dyDescent="0.3">
      <c r="C13" s="185"/>
      <c r="D13" s="168"/>
      <c r="E13" s="199"/>
      <c r="F13" s="200"/>
      <c r="G13" s="200"/>
      <c r="H13" s="200"/>
      <c r="I13" s="200"/>
      <c r="J13" s="200"/>
      <c r="K13" s="200"/>
      <c r="L13" s="200"/>
      <c r="M13" s="200"/>
      <c r="N13" s="200"/>
      <c r="O13" s="200"/>
      <c r="P13" s="200"/>
      <c r="Q13" s="168"/>
    </row>
    <row r="14" spans="3:17" ht="18.75" x14ac:dyDescent="0.3">
      <c r="C14" s="185"/>
      <c r="D14" s="168"/>
      <c r="E14" s="199" t="s">
        <v>254</v>
      </c>
      <c r="F14" s="200"/>
      <c r="G14" s="200"/>
      <c r="H14" s="315" t="s">
        <v>296</v>
      </c>
      <c r="I14" s="315"/>
      <c r="J14" s="200"/>
      <c r="K14" s="200"/>
      <c r="L14" s="200"/>
      <c r="M14" s="200"/>
      <c r="N14" s="200"/>
      <c r="O14" s="200"/>
      <c r="P14" s="200"/>
      <c r="Q14" s="168"/>
    </row>
    <row r="15" spans="3:17" ht="18.75" x14ac:dyDescent="0.3">
      <c r="C15" s="185"/>
      <c r="D15" s="168"/>
      <c r="E15" s="199"/>
      <c r="F15" s="200"/>
      <c r="G15" s="200"/>
      <c r="H15" s="208"/>
      <c r="I15" s="208"/>
      <c r="J15" s="200"/>
      <c r="K15" s="200"/>
      <c r="L15" s="200"/>
      <c r="M15" s="200"/>
      <c r="N15" s="200"/>
      <c r="O15" s="200"/>
      <c r="P15" s="200"/>
      <c r="Q15" s="168"/>
    </row>
    <row r="16" spans="3:17" ht="18.75" x14ac:dyDescent="0.3">
      <c r="C16" s="185"/>
      <c r="D16" s="168"/>
      <c r="E16" s="199" t="s">
        <v>294</v>
      </c>
      <c r="F16" s="200"/>
      <c r="G16" s="200"/>
      <c r="H16" s="315">
        <v>5</v>
      </c>
      <c r="I16" s="315"/>
      <c r="J16" s="200"/>
      <c r="K16" s="200"/>
      <c r="L16" s="200"/>
      <c r="M16" s="200"/>
      <c r="N16" s="200"/>
      <c r="O16" s="200"/>
      <c r="P16" s="200"/>
      <c r="Q16" s="168"/>
    </row>
    <row r="17" spans="3:17" ht="18.75" x14ac:dyDescent="0.3">
      <c r="C17" s="185"/>
      <c r="D17" s="168"/>
      <c r="E17" s="209"/>
      <c r="F17" s="200"/>
      <c r="G17" s="200"/>
      <c r="H17" s="200"/>
      <c r="I17" s="200"/>
      <c r="J17" s="200"/>
      <c r="K17" s="200"/>
      <c r="L17" s="200"/>
      <c r="M17" s="200"/>
      <c r="N17" s="200"/>
      <c r="O17" s="200"/>
      <c r="P17" s="200"/>
      <c r="Q17" s="168"/>
    </row>
    <row r="18" spans="3:17" ht="18.75" x14ac:dyDescent="0.3">
      <c r="C18" s="185"/>
      <c r="D18" s="168"/>
      <c r="E18" s="199" t="s">
        <v>251</v>
      </c>
      <c r="F18" s="210"/>
      <c r="G18" s="210"/>
      <c r="H18" s="210"/>
      <c r="I18" s="210"/>
      <c r="J18" s="315"/>
      <c r="K18" s="315"/>
      <c r="L18" s="315"/>
      <c r="M18" s="315"/>
      <c r="N18" s="315"/>
      <c r="O18" s="200"/>
      <c r="P18" s="200"/>
      <c r="Q18" s="168"/>
    </row>
    <row r="19" spans="3:17" ht="18.75" x14ac:dyDescent="0.3">
      <c r="C19" s="185"/>
      <c r="D19" s="168"/>
      <c r="E19" s="209"/>
      <c r="F19" s="200"/>
      <c r="G19" s="200"/>
      <c r="H19" s="200"/>
      <c r="I19" s="200"/>
      <c r="J19" s="200"/>
      <c r="K19" s="200"/>
      <c r="L19" s="200"/>
      <c r="M19" s="200"/>
      <c r="N19" s="200"/>
      <c r="O19" s="200"/>
      <c r="P19" s="200"/>
      <c r="Q19" s="168"/>
    </row>
    <row r="20" spans="3:17" ht="18.75" x14ac:dyDescent="0.3">
      <c r="C20" s="185"/>
      <c r="D20" s="168"/>
      <c r="E20" s="199" t="s">
        <v>249</v>
      </c>
      <c r="F20" s="210"/>
      <c r="G20" s="210"/>
      <c r="H20" s="210"/>
      <c r="I20" s="210"/>
      <c r="J20" s="315"/>
      <c r="K20" s="315"/>
      <c r="L20" s="315"/>
      <c r="M20" s="315"/>
      <c r="N20" s="315"/>
      <c r="O20" s="210"/>
      <c r="P20" s="210"/>
      <c r="Q20" s="168"/>
    </row>
    <row r="21" spans="3:17" ht="18.75" x14ac:dyDescent="0.3">
      <c r="C21" s="185"/>
      <c r="D21" s="168"/>
      <c r="E21" s="211"/>
      <c r="F21" s="212"/>
      <c r="G21" s="213"/>
      <c r="H21" s="213"/>
      <c r="I21" s="214"/>
      <c r="J21" s="212"/>
      <c r="K21" s="212"/>
      <c r="L21" s="200"/>
      <c r="M21" s="200"/>
      <c r="N21" s="200"/>
      <c r="O21" s="213"/>
      <c r="P21" s="215"/>
      <c r="Q21" s="168"/>
    </row>
    <row r="22" spans="3:17" ht="18.75" x14ac:dyDescent="0.3">
      <c r="C22" s="185"/>
      <c r="D22" s="168"/>
      <c r="E22" s="199" t="s">
        <v>250</v>
      </c>
      <c r="F22" s="212"/>
      <c r="G22" s="213"/>
      <c r="H22" s="213"/>
      <c r="I22" s="214"/>
      <c r="J22" s="318"/>
      <c r="K22" s="318"/>
      <c r="L22" s="318"/>
      <c r="M22" s="318"/>
      <c r="N22" s="318"/>
      <c r="O22" s="213"/>
      <c r="P22" s="215"/>
      <c r="Q22" s="168"/>
    </row>
    <row r="23" spans="3:17" ht="18.75" x14ac:dyDescent="0.3">
      <c r="C23" s="185"/>
      <c r="D23" s="168"/>
      <c r="E23" s="199"/>
      <c r="F23" s="212"/>
      <c r="G23" s="213"/>
      <c r="H23" s="213"/>
      <c r="I23" s="214"/>
      <c r="J23" s="208"/>
      <c r="K23" s="208"/>
      <c r="L23" s="208"/>
      <c r="M23" s="208"/>
      <c r="N23" s="200"/>
      <c r="O23" s="213"/>
      <c r="P23" s="215"/>
      <c r="Q23" s="168"/>
    </row>
    <row r="24" spans="3:17" ht="18.75" x14ac:dyDescent="0.3">
      <c r="C24" s="185"/>
      <c r="D24" s="168"/>
      <c r="E24" s="199"/>
      <c r="F24" s="212"/>
      <c r="G24" s="213"/>
      <c r="H24" s="213"/>
      <c r="I24" s="214"/>
      <c r="J24" s="208"/>
      <c r="K24" s="208"/>
      <c r="L24" s="208"/>
      <c r="M24" s="208"/>
      <c r="N24" s="200"/>
      <c r="O24" s="213"/>
      <c r="P24" s="215"/>
      <c r="Q24" s="168"/>
    </row>
    <row r="25" spans="3:17" ht="18.75" x14ac:dyDescent="0.3">
      <c r="C25" s="185"/>
      <c r="D25" s="168"/>
      <c r="E25" s="312" t="s">
        <v>291</v>
      </c>
      <c r="F25" s="312"/>
      <c r="G25" s="312"/>
      <c r="H25" s="312"/>
      <c r="I25" s="312"/>
      <c r="J25" s="208"/>
      <c r="K25" s="208"/>
      <c r="L25" s="208"/>
      <c r="M25" s="208"/>
      <c r="N25" s="200"/>
      <c r="O25" s="213"/>
      <c r="P25" s="215"/>
      <c r="Q25" s="168"/>
    </row>
    <row r="26" spans="3:17" ht="18.75" x14ac:dyDescent="0.3">
      <c r="C26" s="185"/>
      <c r="D26" s="168"/>
      <c r="E26" s="312" t="s">
        <v>255</v>
      </c>
      <c r="F26" s="312"/>
      <c r="G26" s="312"/>
      <c r="H26" s="312"/>
      <c r="I26" s="312"/>
      <c r="J26" s="208"/>
      <c r="K26" s="208"/>
      <c r="L26" s="208"/>
      <c r="M26" s="208"/>
      <c r="N26" s="200"/>
      <c r="O26" s="213"/>
      <c r="P26" s="215"/>
      <c r="Q26" s="168"/>
    </row>
    <row r="27" spans="3:17" ht="7.5" customHeight="1" thickBot="1" x14ac:dyDescent="0.35">
      <c r="C27" s="185"/>
      <c r="D27" s="168"/>
      <c r="E27" s="216"/>
      <c r="F27" s="212"/>
      <c r="G27" s="213"/>
      <c r="H27" s="213"/>
      <c r="I27" s="214"/>
      <c r="J27" s="208"/>
      <c r="K27" s="208"/>
      <c r="L27" s="208"/>
      <c r="M27" s="208"/>
      <c r="N27" s="200"/>
      <c r="O27" s="213"/>
      <c r="P27" s="215"/>
      <c r="Q27" s="168"/>
    </row>
    <row r="28" spans="3:17" ht="18.75" x14ac:dyDescent="0.3">
      <c r="C28" s="185"/>
      <c r="D28" s="168"/>
      <c r="E28" s="249" t="s">
        <v>290</v>
      </c>
      <c r="F28" s="250"/>
      <c r="G28" s="251"/>
      <c r="H28" s="251"/>
      <c r="I28" s="252">
        <f>'Tap Calculator'!L47</f>
        <v>23879.29</v>
      </c>
      <c r="J28" s="208"/>
      <c r="K28" s="208"/>
      <c r="L28" s="208"/>
      <c r="M28" s="208"/>
      <c r="N28" s="200"/>
      <c r="O28" s="213"/>
      <c r="P28" s="215"/>
      <c r="Q28" s="168"/>
    </row>
    <row r="29" spans="3:17" ht="18.75" x14ac:dyDescent="0.3">
      <c r="C29" s="185"/>
      <c r="D29" s="168"/>
      <c r="E29" s="217" t="s">
        <v>256</v>
      </c>
      <c r="F29" s="212"/>
      <c r="G29" s="213"/>
      <c r="H29" s="213"/>
      <c r="I29" s="218">
        <f>'Tap Calculator'!I52</f>
        <v>8000</v>
      </c>
      <c r="J29" s="208"/>
      <c r="K29" s="208"/>
      <c r="L29" s="208"/>
      <c r="M29" s="208"/>
      <c r="N29" s="200"/>
      <c r="O29" s="213"/>
      <c r="P29" s="215"/>
      <c r="Q29" s="168"/>
    </row>
    <row r="30" spans="3:17" ht="18.75" x14ac:dyDescent="0.3">
      <c r="C30" s="185"/>
      <c r="D30" s="168"/>
      <c r="E30" s="217" t="s">
        <v>264</v>
      </c>
      <c r="F30" s="212"/>
      <c r="G30" s="213"/>
      <c r="H30" s="213"/>
      <c r="I30" s="218">
        <v>518</v>
      </c>
      <c r="J30" s="208"/>
      <c r="K30" s="208"/>
      <c r="L30" s="208"/>
      <c r="M30" s="208"/>
      <c r="N30" s="200"/>
      <c r="O30" s="213"/>
      <c r="P30" s="215"/>
      <c r="Q30" s="168"/>
    </row>
    <row r="31" spans="3:17" ht="18.75" x14ac:dyDescent="0.3">
      <c r="C31" s="185"/>
      <c r="D31" s="168"/>
      <c r="E31" s="217" t="s">
        <v>265</v>
      </c>
      <c r="F31" s="212"/>
      <c r="G31" s="213"/>
      <c r="H31" s="213"/>
      <c r="I31" s="218">
        <v>150</v>
      </c>
      <c r="J31" s="208"/>
      <c r="K31" s="208"/>
      <c r="L31" s="208"/>
      <c r="M31" s="208"/>
      <c r="N31" s="200"/>
      <c r="O31" s="213"/>
      <c r="P31" s="215"/>
      <c r="Q31" s="168"/>
    </row>
    <row r="32" spans="3:17" ht="19.5" thickBot="1" x14ac:dyDescent="0.35">
      <c r="C32" s="185"/>
      <c r="D32" s="168"/>
      <c r="E32" s="219" t="s">
        <v>257</v>
      </c>
      <c r="F32" s="220"/>
      <c r="G32" s="221"/>
      <c r="H32" s="221"/>
      <c r="I32" s="222">
        <f>SUM(I28:I31)</f>
        <v>32547.29</v>
      </c>
      <c r="J32" s="208"/>
      <c r="K32" s="208"/>
      <c r="L32" s="208"/>
      <c r="M32" s="208"/>
      <c r="N32" s="200"/>
      <c r="O32" s="213"/>
      <c r="P32" s="215"/>
      <c r="Q32" s="168"/>
    </row>
    <row r="33" spans="3:17" ht="21" x14ac:dyDescent="0.35">
      <c r="C33" s="185"/>
      <c r="D33" s="168"/>
      <c r="E33" s="187"/>
      <c r="F33" s="177"/>
      <c r="G33" s="176"/>
      <c r="H33" s="176"/>
      <c r="I33" s="223"/>
      <c r="J33" s="224"/>
      <c r="K33" s="224"/>
      <c r="L33" s="224"/>
      <c r="M33" s="224"/>
      <c r="N33" s="168"/>
      <c r="O33" s="176"/>
      <c r="P33" s="172"/>
      <c r="Q33" s="168"/>
    </row>
    <row r="34" spans="3:17" ht="21" x14ac:dyDescent="0.35">
      <c r="C34" s="185"/>
      <c r="D34" s="200" t="s">
        <v>258</v>
      </c>
      <c r="E34" s="187"/>
      <c r="F34" s="177"/>
      <c r="G34" s="176"/>
      <c r="H34" s="176"/>
      <c r="I34" s="223"/>
      <c r="J34" s="224"/>
      <c r="K34" s="224"/>
      <c r="L34" s="224"/>
      <c r="M34" s="224"/>
      <c r="N34" s="168"/>
      <c r="O34" s="176"/>
      <c r="P34" s="172"/>
      <c r="Q34" s="168"/>
    </row>
    <row r="35" spans="3:17" ht="21" x14ac:dyDescent="0.35">
      <c r="C35" s="185"/>
      <c r="D35" s="200" t="s">
        <v>259</v>
      </c>
      <c r="E35" s="187"/>
      <c r="F35" s="177"/>
      <c r="G35" s="176"/>
      <c r="H35" s="176"/>
      <c r="I35" s="223"/>
      <c r="J35" s="224"/>
      <c r="K35" s="224"/>
      <c r="L35" s="224"/>
      <c r="M35" s="224"/>
      <c r="N35" s="168"/>
      <c r="O35" s="176"/>
      <c r="P35" s="172"/>
      <c r="Q35" s="168"/>
    </row>
    <row r="36" spans="3:17" ht="21" x14ac:dyDescent="0.35">
      <c r="C36" s="185"/>
      <c r="D36" s="200" t="s">
        <v>260</v>
      </c>
      <c r="E36" s="187"/>
      <c r="F36" s="177"/>
      <c r="G36" s="176"/>
      <c r="H36" s="176"/>
      <c r="I36" s="171"/>
      <c r="J36" s="224"/>
      <c r="K36" s="224"/>
      <c r="L36" s="224"/>
      <c r="M36" s="224"/>
      <c r="N36" s="168"/>
      <c r="O36" s="176"/>
      <c r="P36" s="172"/>
      <c r="Q36" s="168"/>
    </row>
    <row r="37" spans="3:17" ht="21" x14ac:dyDescent="0.35">
      <c r="C37" s="185"/>
      <c r="D37" s="200"/>
      <c r="E37" s="187"/>
      <c r="F37" s="177"/>
      <c r="G37" s="176"/>
      <c r="H37" s="176"/>
      <c r="I37" s="171"/>
      <c r="J37" s="224"/>
      <c r="K37" s="224"/>
      <c r="L37" s="224"/>
      <c r="M37" s="224"/>
      <c r="N37" s="168"/>
      <c r="O37" s="176"/>
      <c r="P37" s="172"/>
      <c r="Q37" s="168"/>
    </row>
    <row r="38" spans="3:17" ht="21" x14ac:dyDescent="0.35">
      <c r="C38" s="185"/>
      <c r="D38" s="168"/>
      <c r="E38" s="188"/>
      <c r="F38" s="177"/>
      <c r="G38" s="176"/>
      <c r="H38" s="176"/>
      <c r="I38" s="171"/>
      <c r="J38" s="177"/>
      <c r="K38" s="177"/>
      <c r="L38" s="168"/>
      <c r="M38" s="168"/>
      <c r="N38" s="168"/>
      <c r="O38" s="176"/>
      <c r="P38" s="172"/>
      <c r="Q38" s="168"/>
    </row>
    <row r="39" spans="3:17" ht="18.75" x14ac:dyDescent="0.3">
      <c r="C39" s="185"/>
      <c r="D39" s="199" t="s">
        <v>261</v>
      </c>
      <c r="E39" s="210"/>
      <c r="F39" s="210"/>
      <c r="G39" s="210"/>
      <c r="H39" s="210"/>
      <c r="I39" s="313"/>
      <c r="J39" s="313"/>
      <c r="K39" s="313"/>
      <c r="L39" s="313"/>
      <c r="M39" s="313"/>
      <c r="N39" s="168"/>
      <c r="O39" s="168"/>
      <c r="P39" s="168"/>
      <c r="Q39" s="168"/>
    </row>
    <row r="40" spans="3:17" ht="15" customHeight="1" x14ac:dyDescent="0.25">
      <c r="C40" s="185"/>
      <c r="D40" s="168"/>
      <c r="E40" s="189"/>
      <c r="F40" s="168"/>
      <c r="G40" s="168"/>
      <c r="H40" s="168"/>
      <c r="I40" s="168"/>
      <c r="J40" s="168"/>
      <c r="K40" s="168"/>
      <c r="L40" s="168"/>
      <c r="M40" s="168"/>
      <c r="N40" s="168"/>
      <c r="O40" s="168"/>
      <c r="P40" s="168"/>
      <c r="Q40" s="168"/>
    </row>
    <row r="41" spans="3:17" ht="15" customHeight="1" x14ac:dyDescent="0.25">
      <c r="C41" s="185"/>
      <c r="D41" s="168"/>
      <c r="E41" s="189"/>
      <c r="F41" s="168"/>
      <c r="G41" s="168"/>
      <c r="H41" s="168"/>
      <c r="I41" s="168"/>
      <c r="J41" s="168"/>
      <c r="K41" s="168"/>
      <c r="L41" s="168"/>
      <c r="M41" s="168"/>
      <c r="N41" s="168"/>
      <c r="O41" s="168"/>
      <c r="P41" s="168"/>
      <c r="Q41" s="168"/>
    </row>
    <row r="42" spans="3:17" ht="15" customHeight="1" x14ac:dyDescent="0.25">
      <c r="C42" s="185"/>
      <c r="D42" s="168"/>
      <c r="E42" s="189"/>
      <c r="F42" s="168"/>
      <c r="G42" s="168"/>
      <c r="H42" s="168"/>
      <c r="I42" s="168"/>
      <c r="J42" s="168"/>
      <c r="K42" s="168"/>
      <c r="L42" s="168"/>
      <c r="M42" s="168"/>
      <c r="N42" s="168"/>
      <c r="O42" s="168"/>
      <c r="P42" s="168"/>
      <c r="Q42" s="168"/>
    </row>
    <row r="43" spans="3:17" ht="15" customHeight="1" x14ac:dyDescent="0.25">
      <c r="C43" s="185"/>
      <c r="D43" s="168"/>
      <c r="E43" s="189"/>
      <c r="F43" s="168"/>
      <c r="G43" s="168"/>
      <c r="H43" s="168"/>
      <c r="I43" s="168"/>
      <c r="J43" s="168"/>
      <c r="K43" s="168"/>
      <c r="L43" s="168"/>
      <c r="M43" s="168"/>
      <c r="N43" s="168"/>
      <c r="O43" s="168"/>
      <c r="P43" s="168"/>
      <c r="Q43" s="168"/>
    </row>
    <row r="44" spans="3:17" ht="15" customHeight="1" x14ac:dyDescent="0.25">
      <c r="C44" s="185"/>
      <c r="D44" s="168"/>
      <c r="E44" s="189"/>
      <c r="F44" s="168"/>
      <c r="G44" s="168"/>
      <c r="H44" s="168"/>
      <c r="I44" s="168"/>
      <c r="J44" s="168"/>
      <c r="K44" s="168"/>
      <c r="L44" s="168"/>
      <c r="M44" s="168"/>
      <c r="N44" s="168"/>
      <c r="O44" s="168"/>
      <c r="P44" s="168"/>
      <c r="Q44" s="168"/>
    </row>
    <row r="45" spans="3:17" ht="15" customHeight="1" x14ac:dyDescent="0.25">
      <c r="C45" s="185"/>
      <c r="D45" s="168"/>
      <c r="E45" s="189"/>
      <c r="F45" s="168"/>
      <c r="G45" s="168"/>
      <c r="H45" s="168"/>
      <c r="I45" s="168"/>
      <c r="J45" s="168"/>
      <c r="K45" s="168"/>
      <c r="L45" s="190"/>
      <c r="M45" s="191"/>
      <c r="N45" s="168"/>
      <c r="O45" s="168"/>
      <c r="P45" s="168"/>
      <c r="Q45" s="168"/>
    </row>
    <row r="46" spans="3:17" x14ac:dyDescent="0.25">
      <c r="C46" s="185"/>
      <c r="D46" s="168"/>
      <c r="E46" s="186"/>
      <c r="F46" s="168"/>
      <c r="G46" s="168"/>
      <c r="H46" s="168"/>
      <c r="I46" s="168"/>
      <c r="J46" s="168"/>
      <c r="K46" s="168"/>
      <c r="L46" s="168"/>
      <c r="M46" s="168"/>
      <c r="N46" s="168"/>
      <c r="O46" s="168"/>
      <c r="P46" s="168"/>
      <c r="Q46" s="168"/>
    </row>
    <row r="47" spans="3:17" x14ac:dyDescent="0.25">
      <c r="C47" s="185"/>
      <c r="D47" s="168"/>
      <c r="E47" s="186"/>
      <c r="F47" s="186"/>
      <c r="G47" s="169"/>
      <c r="H47" s="169"/>
      <c r="I47" s="169"/>
      <c r="J47" s="169"/>
      <c r="K47" s="169"/>
      <c r="L47" s="169"/>
      <c r="M47" s="169"/>
      <c r="N47" s="169"/>
      <c r="O47" s="169"/>
      <c r="P47" s="169"/>
      <c r="Q47" s="168"/>
    </row>
    <row r="48" spans="3:17" x14ac:dyDescent="0.25">
      <c r="C48" s="185"/>
      <c r="D48" s="168"/>
      <c r="E48" s="186"/>
      <c r="F48" s="190"/>
      <c r="G48" s="173"/>
      <c r="H48" s="173"/>
      <c r="I48" s="173"/>
      <c r="J48" s="173"/>
      <c r="K48" s="173"/>
      <c r="L48" s="173"/>
      <c r="M48" s="173"/>
      <c r="N48" s="173"/>
      <c r="O48" s="173"/>
      <c r="P48" s="173"/>
      <c r="Q48" s="168"/>
    </row>
    <row r="49" spans="3:17" x14ac:dyDescent="0.25">
      <c r="C49" s="185"/>
      <c r="D49" s="168"/>
      <c r="E49" s="186"/>
      <c r="F49" s="176"/>
      <c r="G49" s="173"/>
      <c r="H49" s="173"/>
      <c r="I49" s="173"/>
      <c r="J49" s="173"/>
      <c r="K49" s="173"/>
      <c r="L49" s="173"/>
      <c r="M49" s="173"/>
      <c r="N49" s="173"/>
      <c r="O49" s="173"/>
      <c r="P49" s="173"/>
      <c r="Q49" s="168"/>
    </row>
    <row r="50" spans="3:17" x14ac:dyDescent="0.25">
      <c r="C50" s="185"/>
      <c r="D50" s="168"/>
      <c r="E50" s="186"/>
      <c r="F50" s="176"/>
      <c r="G50" s="174"/>
      <c r="H50" s="174"/>
      <c r="I50" s="174"/>
      <c r="J50" s="174"/>
      <c r="K50" s="174"/>
      <c r="L50" s="174"/>
      <c r="M50" s="174"/>
      <c r="N50" s="174"/>
      <c r="O50" s="174"/>
      <c r="P50" s="174"/>
      <c r="Q50" s="168"/>
    </row>
    <row r="51" spans="3:17" x14ac:dyDescent="0.25">
      <c r="C51" s="185"/>
      <c r="D51" s="168"/>
      <c r="E51" s="186"/>
      <c r="F51" s="176"/>
      <c r="G51" s="174"/>
      <c r="H51" s="174"/>
      <c r="I51" s="174"/>
      <c r="J51" s="174"/>
      <c r="K51" s="174"/>
      <c r="L51" s="174"/>
      <c r="M51" s="174"/>
      <c r="N51" s="174"/>
      <c r="O51" s="174"/>
      <c r="P51" s="174"/>
      <c r="Q51" s="168"/>
    </row>
    <row r="52" spans="3:17" x14ac:dyDescent="0.25">
      <c r="C52" s="185"/>
      <c r="D52" s="168"/>
      <c r="E52" s="186"/>
      <c r="F52" s="176"/>
      <c r="G52" s="174"/>
      <c r="H52" s="174"/>
      <c r="I52" s="174"/>
      <c r="J52" s="174"/>
      <c r="K52" s="174"/>
      <c r="L52" s="174"/>
      <c r="M52" s="174"/>
      <c r="N52" s="174"/>
      <c r="O52" s="174"/>
      <c r="P52" s="174"/>
      <c r="Q52" s="168"/>
    </row>
    <row r="53" spans="3:17" x14ac:dyDescent="0.25">
      <c r="C53" s="185"/>
      <c r="D53" s="168"/>
      <c r="E53" s="186"/>
      <c r="F53" s="176"/>
      <c r="G53" s="174"/>
      <c r="H53" s="174"/>
      <c r="I53" s="174"/>
      <c r="J53" s="174"/>
      <c r="K53" s="174"/>
      <c r="L53" s="174"/>
      <c r="M53" s="174"/>
      <c r="N53" s="174"/>
      <c r="O53" s="174"/>
      <c r="P53" s="174"/>
      <c r="Q53" s="168"/>
    </row>
    <row r="54" spans="3:17" x14ac:dyDescent="0.25">
      <c r="C54" s="185"/>
      <c r="D54" s="168"/>
      <c r="E54" s="186"/>
      <c r="F54" s="176"/>
      <c r="G54" s="168"/>
      <c r="H54" s="168"/>
      <c r="I54" s="168"/>
      <c r="J54" s="192"/>
      <c r="K54" s="193"/>
      <c r="L54" s="175"/>
      <c r="M54" s="168"/>
      <c r="N54" s="168"/>
      <c r="O54" s="168"/>
      <c r="P54" s="168"/>
      <c r="Q54" s="168"/>
    </row>
    <row r="55" spans="3:17" x14ac:dyDescent="0.25">
      <c r="C55" s="185"/>
      <c r="D55" s="168"/>
      <c r="E55" s="168"/>
      <c r="F55" s="168"/>
      <c r="G55" s="168"/>
      <c r="H55" s="168"/>
      <c r="I55" s="168"/>
      <c r="J55" s="168"/>
      <c r="K55" s="168"/>
      <c r="L55" s="168"/>
      <c r="M55" s="168"/>
      <c r="N55" s="168"/>
      <c r="O55" s="168"/>
      <c r="P55" s="168"/>
      <c r="Q55" s="168"/>
    </row>
    <row r="56" spans="3:17" ht="18.75" x14ac:dyDescent="0.3">
      <c r="C56" s="185"/>
      <c r="D56" s="199" t="s">
        <v>262</v>
      </c>
      <c r="E56" s="186"/>
      <c r="F56" s="168"/>
      <c r="G56" s="168"/>
      <c r="H56" s="168"/>
      <c r="I56" s="168"/>
      <c r="J56" s="173"/>
      <c r="K56" s="168"/>
      <c r="L56" s="168"/>
      <c r="M56" s="168"/>
      <c r="N56" s="168"/>
      <c r="O56" s="168"/>
      <c r="P56" s="168"/>
      <c r="Q56" s="168"/>
    </row>
    <row r="57" spans="3:17" ht="18.75" x14ac:dyDescent="0.3">
      <c r="C57" s="185"/>
      <c r="D57" s="199" t="s">
        <v>263</v>
      </c>
      <c r="E57" s="186"/>
      <c r="F57" s="168"/>
      <c r="G57" s="168"/>
      <c r="H57" s="168"/>
      <c r="I57" s="168"/>
      <c r="J57" s="168"/>
      <c r="K57" s="168"/>
      <c r="L57" s="168"/>
      <c r="M57" s="168"/>
      <c r="N57" s="168"/>
      <c r="O57" s="168"/>
      <c r="P57" s="168"/>
      <c r="Q57" s="168"/>
    </row>
    <row r="58" spans="3:17" ht="18.75" x14ac:dyDescent="0.3">
      <c r="C58" s="185"/>
      <c r="D58" s="200"/>
      <c r="E58" s="186"/>
      <c r="F58" s="168"/>
      <c r="G58" s="168"/>
      <c r="H58" s="168"/>
      <c r="I58" s="168"/>
      <c r="J58" s="168"/>
      <c r="K58" s="168"/>
      <c r="L58" s="168"/>
      <c r="M58" s="168"/>
      <c r="N58" s="168"/>
      <c r="O58" s="168"/>
      <c r="P58" s="168"/>
      <c r="Q58" s="168"/>
    </row>
    <row r="59" spans="3:17" x14ac:dyDescent="0.25">
      <c r="C59" s="185"/>
      <c r="D59" s="168"/>
      <c r="E59" s="186"/>
      <c r="F59" s="168"/>
      <c r="G59" s="168"/>
      <c r="H59" s="168"/>
      <c r="I59" s="168"/>
      <c r="J59" s="168"/>
      <c r="K59" s="168"/>
      <c r="L59" s="168"/>
      <c r="M59" s="168"/>
      <c r="N59" s="168"/>
      <c r="O59" s="168"/>
      <c r="P59" s="168"/>
      <c r="Q59" s="168"/>
    </row>
    <row r="60" spans="3:17" x14ac:dyDescent="0.25">
      <c r="C60" s="194"/>
      <c r="D60" s="168"/>
      <c r="E60" s="168"/>
      <c r="F60" s="168"/>
      <c r="G60" s="168"/>
      <c r="H60" s="168"/>
      <c r="I60" s="168"/>
      <c r="J60" s="168"/>
      <c r="K60" s="168"/>
      <c r="L60" s="168"/>
      <c r="M60" s="168"/>
      <c r="N60" s="168"/>
      <c r="O60" s="168"/>
      <c r="P60" s="168"/>
      <c r="Q60" s="168"/>
    </row>
    <row r="61" spans="3:17" x14ac:dyDescent="0.25">
      <c r="C61" s="168"/>
      <c r="D61" s="168"/>
      <c r="E61" s="168"/>
      <c r="F61" s="168"/>
      <c r="G61" s="168"/>
      <c r="H61" s="168"/>
      <c r="I61" s="168"/>
      <c r="J61" s="168"/>
      <c r="K61" s="168"/>
      <c r="L61" s="168"/>
      <c r="M61" s="168"/>
      <c r="N61" s="168"/>
      <c r="O61" s="168"/>
      <c r="P61" s="168"/>
      <c r="Q61" s="168"/>
    </row>
  </sheetData>
  <sheetProtection sheet="1" objects="1" scenarios="1"/>
  <mergeCells count="11">
    <mergeCell ref="O12:P12"/>
    <mergeCell ref="H14:I14"/>
    <mergeCell ref="J18:N18"/>
    <mergeCell ref="J20:N20"/>
    <mergeCell ref="J22:N22"/>
    <mergeCell ref="E25:I25"/>
    <mergeCell ref="E26:I26"/>
    <mergeCell ref="I39:M39"/>
    <mergeCell ref="F10:G10"/>
    <mergeCell ref="G12:L12"/>
    <mergeCell ref="H16:I16"/>
  </mergeCells>
  <pageMargins left="0.7" right="0.7" top="0.75" bottom="0.75" header="0.3" footer="0.3"/>
  <pageSetup paperSize="3"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BJ152"/>
  <sheetViews>
    <sheetView showGridLines="0" topLeftCell="A68" zoomScale="85" zoomScaleNormal="85" workbookViewId="0">
      <selection activeCell="F139" sqref="F139"/>
    </sheetView>
  </sheetViews>
  <sheetFormatPr defaultRowHeight="15" outlineLevelRow="1" x14ac:dyDescent="0.25"/>
  <cols>
    <col min="1" max="1" width="3.28515625" customWidth="1"/>
    <col min="2" max="2" width="2.5703125" customWidth="1"/>
    <col min="3" max="3" width="10.7109375" customWidth="1"/>
    <col min="4" max="4" width="11.42578125" customWidth="1"/>
    <col min="5" max="5" width="10.7109375" customWidth="1"/>
    <col min="6" max="7" width="11.7109375" customWidth="1"/>
    <col min="8" max="8" width="12.5703125" customWidth="1"/>
    <col min="9" max="9" width="13.28515625" customWidth="1"/>
    <col min="10" max="10" width="10.7109375" customWidth="1"/>
    <col min="11" max="11" width="11.7109375" customWidth="1"/>
    <col min="12" max="12" width="13.85546875" customWidth="1"/>
    <col min="13" max="13" width="8.7109375" customWidth="1"/>
    <col min="14" max="14" width="9.85546875" customWidth="1"/>
    <col min="15" max="16" width="10.7109375" customWidth="1"/>
    <col min="17" max="17" width="9" customWidth="1"/>
    <col min="18" max="27" width="9" style="164"/>
    <col min="28" max="28" width="11.28515625" style="164" customWidth="1"/>
    <col min="29" max="29" width="11.85546875" style="164" customWidth="1"/>
    <col min="30" max="30" width="13" style="164" customWidth="1"/>
    <col min="31" max="31" width="10.7109375" style="164" customWidth="1"/>
    <col min="32" max="32" width="12" style="164" customWidth="1"/>
    <col min="33" max="33" width="4.7109375" style="164" customWidth="1"/>
    <col min="34" max="35" width="15.7109375" style="164" customWidth="1"/>
    <col min="36" max="36" width="4.7109375" style="164" customWidth="1"/>
    <col min="37" max="38" width="15.7109375" customWidth="1"/>
    <col min="39" max="39" width="4.7109375" customWidth="1"/>
    <col min="40" max="40" width="23.140625" customWidth="1"/>
    <col min="41" max="44" width="12.7109375" customWidth="1"/>
    <col min="45" max="45" width="13.42578125" customWidth="1"/>
    <col min="46" max="46" width="36.7109375" customWidth="1"/>
    <col min="49" max="49" width="4.7109375" customWidth="1"/>
    <col min="50" max="51" width="15.7109375" customWidth="1"/>
    <col min="52" max="52" width="10.28515625" customWidth="1"/>
    <col min="53" max="53" width="19.42578125" customWidth="1"/>
    <col min="54" max="54" width="18" customWidth="1"/>
    <col min="55" max="55" width="4.7109375" customWidth="1"/>
    <col min="57" max="57" width="12.5703125" customWidth="1"/>
    <col min="58" max="58" width="4.7109375" customWidth="1"/>
    <col min="60" max="60" width="11.85546875" customWidth="1"/>
    <col min="64" max="64" width="30.140625" customWidth="1"/>
  </cols>
  <sheetData>
    <row r="1" spans="2:20" ht="22.5" customHeight="1" x14ac:dyDescent="0.25">
      <c r="B1" s="1"/>
      <c r="C1" s="1"/>
      <c r="D1" s="1"/>
      <c r="E1" s="1"/>
      <c r="F1" s="1"/>
      <c r="G1" s="1"/>
      <c r="H1" s="1"/>
      <c r="I1" s="1"/>
      <c r="J1" s="1"/>
      <c r="K1" s="1"/>
      <c r="L1" s="1"/>
      <c r="M1" s="1"/>
      <c r="N1" s="1"/>
      <c r="O1" s="1"/>
      <c r="P1" s="1"/>
      <c r="Q1" s="1"/>
      <c r="R1" s="165"/>
      <c r="S1" s="165"/>
      <c r="T1" s="165"/>
    </row>
    <row r="2" spans="2:20" ht="22.5" customHeight="1" x14ac:dyDescent="0.25">
      <c r="B2" s="1"/>
      <c r="D2" s="1"/>
      <c r="E2" s="1"/>
      <c r="F2" s="1"/>
      <c r="G2" s="1"/>
      <c r="H2" s="1"/>
      <c r="I2" s="1"/>
      <c r="J2" s="1"/>
      <c r="K2" s="1"/>
      <c r="L2" s="1"/>
      <c r="M2" s="1"/>
      <c r="N2" s="1"/>
      <c r="O2" s="1"/>
      <c r="P2" s="1"/>
      <c r="Q2" s="1"/>
      <c r="R2" s="165"/>
      <c r="S2" s="165"/>
      <c r="T2" s="165"/>
    </row>
    <row r="3" spans="2:20" ht="22.5" customHeight="1" x14ac:dyDescent="0.25">
      <c r="B3" s="1"/>
      <c r="D3" s="1"/>
      <c r="E3" s="1"/>
      <c r="F3" s="1"/>
      <c r="G3" s="1"/>
      <c r="H3" s="1"/>
      <c r="I3" s="1"/>
      <c r="J3" s="1"/>
      <c r="K3" s="1"/>
      <c r="L3" s="1"/>
      <c r="M3" s="1"/>
      <c r="N3" s="1"/>
      <c r="O3" s="1"/>
      <c r="P3" s="1"/>
      <c r="Q3" s="1"/>
      <c r="R3" s="165"/>
      <c r="S3" s="165"/>
      <c r="T3" s="165"/>
    </row>
    <row r="4" spans="2:20" ht="22.5" customHeight="1" x14ac:dyDescent="0.35">
      <c r="B4" s="1"/>
      <c r="C4" s="225" t="s">
        <v>247</v>
      </c>
      <c r="D4" s="164"/>
      <c r="E4" s="334">
        <f>Agreement!F10</f>
        <v>0</v>
      </c>
      <c r="F4" s="335"/>
      <c r="G4" s="1"/>
      <c r="H4" s="1"/>
      <c r="I4" s="1"/>
      <c r="J4" s="1"/>
      <c r="K4" s="1"/>
      <c r="L4" s="1"/>
      <c r="M4" s="1"/>
      <c r="N4" s="1"/>
      <c r="O4" s="1"/>
      <c r="P4" s="1"/>
      <c r="Q4" s="1"/>
      <c r="R4" s="165"/>
      <c r="S4" s="165"/>
      <c r="T4" s="165"/>
    </row>
    <row r="5" spans="2:20" ht="22.5" customHeight="1" x14ac:dyDescent="0.35">
      <c r="B5" s="1"/>
      <c r="C5" s="225" t="s">
        <v>248</v>
      </c>
      <c r="D5" s="165"/>
      <c r="E5" s="311">
        <f>Agreement!G12</f>
        <v>0</v>
      </c>
      <c r="F5" s="1"/>
      <c r="G5" s="1"/>
      <c r="H5" s="2"/>
      <c r="I5" s="20"/>
      <c r="J5" s="3"/>
      <c r="K5" s="1"/>
      <c r="L5" s="1"/>
      <c r="M5" s="1"/>
      <c r="N5" s="1"/>
      <c r="O5" s="1"/>
      <c r="P5" s="1"/>
      <c r="Q5" s="1"/>
      <c r="R5" s="165"/>
      <c r="S5" s="165"/>
      <c r="T5" s="165"/>
    </row>
    <row r="6" spans="2:20" ht="22.5" customHeight="1" x14ac:dyDescent="0.25">
      <c r="B6" s="1"/>
      <c r="D6" s="1"/>
      <c r="E6" s="1"/>
      <c r="F6" s="1"/>
      <c r="G6" s="1"/>
      <c r="H6" s="2"/>
      <c r="I6" s="20"/>
      <c r="J6" s="3"/>
      <c r="K6" s="1"/>
      <c r="L6" s="1"/>
      <c r="M6" s="1"/>
      <c r="N6" s="1"/>
      <c r="O6" s="1"/>
      <c r="P6" s="1"/>
      <c r="Q6" s="1"/>
      <c r="R6" s="165"/>
      <c r="S6" s="165"/>
      <c r="T6" s="165"/>
    </row>
    <row r="7" spans="2:20" ht="22.5" customHeight="1" x14ac:dyDescent="0.25">
      <c r="B7" s="1"/>
      <c r="D7" s="1"/>
      <c r="E7" s="1"/>
      <c r="F7" s="1"/>
      <c r="G7" s="1"/>
      <c r="H7" s="2"/>
      <c r="I7" s="20"/>
      <c r="J7" s="3"/>
      <c r="K7" s="1"/>
      <c r="L7" s="1"/>
      <c r="M7" s="1"/>
      <c r="N7" s="1"/>
      <c r="O7" s="1"/>
      <c r="P7" s="1"/>
      <c r="Q7" s="1"/>
      <c r="R7" s="165"/>
      <c r="S7" s="165"/>
      <c r="T7" s="165"/>
    </row>
    <row r="8" spans="2:20" ht="22.5" customHeight="1" x14ac:dyDescent="0.4">
      <c r="B8" s="1"/>
      <c r="D8" s="1"/>
      <c r="E8" s="1"/>
      <c r="F8" s="1"/>
      <c r="G8" s="1"/>
      <c r="H8" s="337" t="s">
        <v>246</v>
      </c>
      <c r="I8" s="338"/>
      <c r="J8" s="339"/>
      <c r="K8" s="1"/>
      <c r="L8" s="1"/>
      <c r="M8" s="1"/>
      <c r="N8" s="1"/>
      <c r="O8" s="1"/>
      <c r="P8" s="1"/>
      <c r="Q8" s="1"/>
      <c r="R8" s="165"/>
      <c r="S8" s="165"/>
      <c r="T8" s="165"/>
    </row>
    <row r="9" spans="2:20" ht="22.5" customHeight="1" x14ac:dyDescent="0.4">
      <c r="B9" s="1"/>
      <c r="D9" s="1"/>
      <c r="E9" s="1"/>
      <c r="F9" s="1"/>
      <c r="G9" s="1"/>
      <c r="H9" s="178"/>
      <c r="I9" s="1"/>
      <c r="J9" s="1"/>
      <c r="K9" s="1"/>
      <c r="L9" s="1"/>
      <c r="M9" s="1"/>
      <c r="N9" s="1"/>
      <c r="O9" s="1"/>
      <c r="P9" s="1"/>
      <c r="Q9" s="1"/>
      <c r="R9" s="165"/>
      <c r="S9" s="165"/>
      <c r="T9" s="165"/>
    </row>
    <row r="10" spans="2:20" ht="26.25" x14ac:dyDescent="0.4">
      <c r="B10" s="1"/>
      <c r="D10" s="151" t="s">
        <v>0</v>
      </c>
      <c r="E10" s="1"/>
      <c r="F10" s="1"/>
      <c r="G10" s="1"/>
      <c r="H10" s="1"/>
      <c r="I10" s="1"/>
      <c r="J10" s="1"/>
      <c r="K10" s="1"/>
      <c r="L10" s="1"/>
      <c r="M10" s="1"/>
      <c r="N10" s="1"/>
      <c r="O10" s="1"/>
      <c r="P10" s="1"/>
      <c r="Q10" s="1"/>
      <c r="R10" s="165"/>
      <c r="S10" s="165"/>
      <c r="T10" s="165"/>
    </row>
    <row r="11" spans="2:20" ht="5.0999999999999996" customHeight="1" x14ac:dyDescent="0.25">
      <c r="B11" s="1"/>
      <c r="C11" s="1"/>
      <c r="D11" s="1"/>
      <c r="E11" s="1"/>
      <c r="F11" s="1"/>
      <c r="G11" s="1"/>
      <c r="H11" s="1"/>
      <c r="I11" s="1"/>
      <c r="J11" s="1"/>
      <c r="K11" s="1"/>
      <c r="L11" s="1"/>
      <c r="M11" s="1"/>
      <c r="N11" s="1"/>
      <c r="O11" s="1"/>
      <c r="P11" s="1"/>
      <c r="Q11" s="1"/>
      <c r="R11" s="165"/>
      <c r="S11" s="165"/>
      <c r="T11" s="165"/>
    </row>
    <row r="12" spans="2:20" ht="18.75" x14ac:dyDescent="0.3">
      <c r="B12" s="1"/>
      <c r="C12" s="19"/>
      <c r="D12" s="4" t="s">
        <v>281</v>
      </c>
      <c r="E12" s="5"/>
      <c r="F12" s="5"/>
      <c r="G12" s="5"/>
      <c r="H12" s="5"/>
      <c r="I12" s="5"/>
      <c r="J12" s="5"/>
      <c r="K12" s="5"/>
      <c r="L12" s="5"/>
      <c r="M12" s="5"/>
      <c r="N12" s="5"/>
      <c r="O12" s="7"/>
      <c r="P12" s="19"/>
      <c r="Q12" s="1"/>
      <c r="R12" s="165"/>
      <c r="S12" s="165"/>
      <c r="T12" s="165"/>
    </row>
    <row r="13" spans="2:20" ht="5.0999999999999996" customHeight="1" thickBot="1" x14ac:dyDescent="0.3">
      <c r="B13" s="2"/>
      <c r="Q13" s="3"/>
      <c r="R13" s="165"/>
      <c r="S13" s="165"/>
      <c r="T13" s="165"/>
    </row>
    <row r="14" spans="2:20" ht="15.75" thickBot="1" x14ac:dyDescent="0.3">
      <c r="B14" s="2"/>
      <c r="D14" s="134" t="s">
        <v>252</v>
      </c>
      <c r="E14" s="135"/>
      <c r="F14" s="135"/>
      <c r="G14" s="135"/>
      <c r="H14" s="135"/>
      <c r="I14" s="135"/>
      <c r="J14" s="135"/>
      <c r="K14" s="135"/>
      <c r="L14" s="135"/>
      <c r="M14" s="135"/>
      <c r="N14" s="135"/>
      <c r="O14" s="166">
        <v>1700</v>
      </c>
      <c r="Q14" s="3"/>
      <c r="R14" s="165"/>
      <c r="S14" s="165"/>
      <c r="T14" s="165"/>
    </row>
    <row r="15" spans="2:20" ht="5.0999999999999996" customHeight="1" thickBot="1" x14ac:dyDescent="0.3">
      <c r="B15" s="2"/>
      <c r="D15" s="136"/>
      <c r="E15" s="122"/>
      <c r="F15" s="122"/>
      <c r="G15" s="122"/>
      <c r="H15" s="122"/>
      <c r="I15" s="122"/>
      <c r="J15" s="122"/>
      <c r="K15" s="122"/>
      <c r="L15" s="122"/>
      <c r="M15" s="122"/>
      <c r="N15" s="122"/>
      <c r="O15" s="137"/>
      <c r="Q15" s="3"/>
      <c r="R15" s="165"/>
      <c r="S15" s="165"/>
      <c r="T15" s="165"/>
    </row>
    <row r="16" spans="2:20" ht="15.75" thickBot="1" x14ac:dyDescent="0.3">
      <c r="B16" s="2"/>
      <c r="D16" s="238" t="s">
        <v>283</v>
      </c>
      <c r="E16" s="122"/>
      <c r="F16" s="122"/>
      <c r="G16" s="122"/>
      <c r="H16" s="122"/>
      <c r="I16" s="122"/>
      <c r="J16" s="122"/>
      <c r="K16" s="122"/>
      <c r="L16" s="122"/>
      <c r="M16" s="122"/>
      <c r="N16" s="122"/>
      <c r="O16" s="166">
        <v>400</v>
      </c>
      <c r="Q16" s="3"/>
      <c r="R16" s="165"/>
      <c r="S16" s="165"/>
      <c r="T16" s="165"/>
    </row>
    <row r="17" spans="2:20" hidden="1" outlineLevel="1" x14ac:dyDescent="0.25">
      <c r="B17" s="2"/>
      <c r="D17" s="136"/>
      <c r="E17" s="122"/>
      <c r="F17" s="122"/>
      <c r="G17" s="122"/>
      <c r="H17" s="122"/>
      <c r="I17" s="122"/>
      <c r="J17" s="122"/>
      <c r="K17" s="122"/>
      <c r="L17" s="122"/>
      <c r="M17" s="122"/>
      <c r="N17" s="122"/>
      <c r="O17" s="137"/>
      <c r="Q17" s="3"/>
      <c r="R17" s="165"/>
      <c r="S17" s="165"/>
      <c r="T17" s="165"/>
    </row>
    <row r="18" spans="2:20" hidden="1" outlineLevel="1" x14ac:dyDescent="0.25">
      <c r="B18" s="2"/>
      <c r="D18" s="136"/>
      <c r="E18" s="122"/>
      <c r="F18" s="122"/>
      <c r="G18" s="122"/>
      <c r="H18" s="122"/>
      <c r="I18" s="122"/>
      <c r="J18" s="122"/>
      <c r="K18" s="122"/>
      <c r="L18" s="122"/>
      <c r="M18" s="122"/>
      <c r="N18" s="123" t="s">
        <v>1</v>
      </c>
      <c r="O18" s="139">
        <f>INDEX($G$120:$G$122,MATCH(O16,$C$120:$C$122,1))</f>
        <v>60390</v>
      </c>
      <c r="Q18" s="3"/>
      <c r="R18" s="165"/>
      <c r="S18" s="165"/>
      <c r="T18" s="165"/>
    </row>
    <row r="19" spans="2:20" hidden="1" outlineLevel="1" x14ac:dyDescent="0.25">
      <c r="B19" s="2"/>
      <c r="D19" s="136"/>
      <c r="E19" s="122"/>
      <c r="F19" s="122"/>
      <c r="G19" s="122"/>
      <c r="H19" s="122"/>
      <c r="I19" s="122"/>
      <c r="J19" s="122"/>
      <c r="K19" s="122"/>
      <c r="L19" s="122"/>
      <c r="M19" s="122"/>
      <c r="N19" s="122"/>
      <c r="O19" s="137"/>
      <c r="Q19" s="3"/>
      <c r="R19" s="165"/>
      <c r="S19" s="165"/>
      <c r="T19" s="165"/>
    </row>
    <row r="20" spans="2:20" hidden="1" outlineLevel="1" x14ac:dyDescent="0.25">
      <c r="B20" s="2"/>
      <c r="D20" s="136"/>
      <c r="E20" s="122"/>
      <c r="F20" s="124" t="s">
        <v>2</v>
      </c>
      <c r="G20" s="122"/>
      <c r="H20" s="122"/>
      <c r="I20" s="122"/>
      <c r="J20" s="122"/>
      <c r="K20" s="122"/>
      <c r="L20" s="122"/>
      <c r="M20" s="122"/>
      <c r="N20" s="122"/>
      <c r="O20" s="137"/>
      <c r="Q20" s="3"/>
      <c r="R20" s="165"/>
      <c r="S20" s="165"/>
      <c r="T20" s="165"/>
    </row>
    <row r="21" spans="2:20" ht="5.0999999999999996" customHeight="1" collapsed="1" thickBot="1" x14ac:dyDescent="0.3">
      <c r="B21" s="2"/>
      <c r="D21" s="136"/>
      <c r="E21" s="122"/>
      <c r="F21" s="122"/>
      <c r="G21" s="122"/>
      <c r="H21" s="122"/>
      <c r="I21" s="122"/>
      <c r="J21" s="122"/>
      <c r="K21" s="122"/>
      <c r="L21" s="122"/>
      <c r="M21" s="122"/>
      <c r="N21" s="122"/>
      <c r="O21" s="137"/>
      <c r="Q21" s="3"/>
      <c r="R21" s="165"/>
      <c r="S21" s="165"/>
      <c r="T21" s="165"/>
    </row>
    <row r="22" spans="2:20" ht="15.75" thickBot="1" x14ac:dyDescent="0.3">
      <c r="B22" s="2"/>
      <c r="D22" s="138" t="s">
        <v>284</v>
      </c>
      <c r="E22" s="122"/>
      <c r="F22" s="122"/>
      <c r="G22" s="122"/>
      <c r="H22" s="122"/>
      <c r="I22" s="122"/>
      <c r="J22" s="122"/>
      <c r="K22" s="122"/>
      <c r="L22" s="122"/>
      <c r="M22" s="122"/>
      <c r="N22" s="122"/>
      <c r="O22" s="166">
        <v>160</v>
      </c>
      <c r="Q22" s="3"/>
      <c r="R22" s="165"/>
      <c r="S22" s="165"/>
      <c r="T22" s="165"/>
    </row>
    <row r="23" spans="2:20" ht="5.0999999999999996" customHeight="1" thickBot="1" x14ac:dyDescent="0.3">
      <c r="B23" s="2"/>
      <c r="D23" s="136"/>
      <c r="E23" s="122"/>
      <c r="F23" s="122"/>
      <c r="G23" s="122"/>
      <c r="H23" s="122"/>
      <c r="I23" s="122"/>
      <c r="J23" s="122"/>
      <c r="K23" s="122"/>
      <c r="L23" s="122"/>
      <c r="M23" s="122"/>
      <c r="N23" s="122"/>
      <c r="O23" s="137"/>
      <c r="Q23" s="3"/>
      <c r="R23" s="165"/>
      <c r="S23" s="165"/>
      <c r="T23" s="165"/>
    </row>
    <row r="24" spans="2:20" ht="15.75" thickBot="1" x14ac:dyDescent="0.3">
      <c r="B24" s="2"/>
      <c r="D24" s="138" t="s">
        <v>282</v>
      </c>
      <c r="E24" s="122"/>
      <c r="F24" s="122"/>
      <c r="G24" s="122"/>
      <c r="H24" s="122"/>
      <c r="I24" s="122"/>
      <c r="J24" s="122"/>
      <c r="K24" s="122"/>
      <c r="L24" s="122"/>
      <c r="M24" s="122"/>
      <c r="N24" s="122"/>
      <c r="O24" s="166">
        <v>357</v>
      </c>
      <c r="Q24" s="3"/>
      <c r="R24" s="165"/>
      <c r="S24" s="165"/>
      <c r="T24" s="165"/>
    </row>
    <row r="25" spans="2:20" hidden="1" outlineLevel="1" x14ac:dyDescent="0.25">
      <c r="B25" s="2"/>
      <c r="D25" s="136"/>
      <c r="E25" s="122"/>
      <c r="F25" s="122"/>
      <c r="G25" s="122"/>
      <c r="H25" s="122"/>
      <c r="I25" s="122"/>
      <c r="J25" s="122"/>
      <c r="K25" s="122"/>
      <c r="L25" s="122"/>
      <c r="M25" s="122"/>
      <c r="N25" s="122"/>
      <c r="O25" s="140"/>
      <c r="Q25" s="3"/>
      <c r="R25" s="165"/>
      <c r="S25" s="165"/>
      <c r="T25" s="165"/>
    </row>
    <row r="26" spans="2:20" hidden="1" outlineLevel="1" x14ac:dyDescent="0.25">
      <c r="B26" s="2"/>
      <c r="D26" s="138" t="s">
        <v>3</v>
      </c>
      <c r="E26" s="122"/>
      <c r="F26" s="122"/>
      <c r="G26" s="122"/>
      <c r="H26" s="122"/>
      <c r="I26" s="122"/>
      <c r="J26" s="122"/>
      <c r="K26" s="122"/>
      <c r="L26" s="122"/>
      <c r="M26" s="122"/>
      <c r="N26" s="122"/>
      <c r="O26" s="141">
        <f>IF(O24&gt;2,M121,M120)+O22</f>
        <v>1491</v>
      </c>
      <c r="Q26" s="3"/>
      <c r="R26" s="165"/>
      <c r="S26" s="165"/>
      <c r="T26" s="165"/>
    </row>
    <row r="27" spans="2:20" hidden="1" outlineLevel="1" x14ac:dyDescent="0.25">
      <c r="B27" s="2"/>
      <c r="D27" s="136"/>
      <c r="E27" s="122"/>
      <c r="F27" s="122"/>
      <c r="G27" s="122"/>
      <c r="H27" s="122"/>
      <c r="I27" s="122"/>
      <c r="J27" s="122"/>
      <c r="K27" s="122"/>
      <c r="L27" s="122"/>
      <c r="M27" s="122"/>
      <c r="N27" s="122"/>
      <c r="O27" s="140"/>
      <c r="Q27" s="3"/>
      <c r="R27" s="165"/>
      <c r="S27" s="165"/>
      <c r="T27" s="165"/>
    </row>
    <row r="28" spans="2:20" hidden="1" outlineLevel="1" x14ac:dyDescent="0.25">
      <c r="B28" s="2"/>
      <c r="D28" s="138" t="s">
        <v>4</v>
      </c>
      <c r="E28" s="122"/>
      <c r="F28" s="122"/>
      <c r="G28" s="122"/>
      <c r="H28" s="122"/>
      <c r="I28" s="122"/>
      <c r="J28" s="122"/>
      <c r="K28" s="122"/>
      <c r="L28" s="122"/>
      <c r="M28" s="122"/>
      <c r="N28" s="122"/>
      <c r="O28" s="141">
        <f>O14-O26</f>
        <v>209</v>
      </c>
      <c r="Q28" s="3"/>
      <c r="R28" s="165"/>
      <c r="S28" s="165"/>
      <c r="T28" s="165"/>
    </row>
    <row r="29" spans="2:20" ht="5.0999999999999996" customHeight="1" collapsed="1" thickBot="1" x14ac:dyDescent="0.3">
      <c r="B29" s="2"/>
      <c r="D29" s="136"/>
      <c r="E29" s="122"/>
      <c r="F29" s="122"/>
      <c r="G29" s="122"/>
      <c r="H29" s="122"/>
      <c r="I29" s="122"/>
      <c r="J29" s="122"/>
      <c r="K29" s="122"/>
      <c r="L29" s="122"/>
      <c r="M29" s="122"/>
      <c r="N29" s="122"/>
      <c r="O29" s="140"/>
      <c r="Q29" s="3"/>
      <c r="R29" s="165"/>
      <c r="S29" s="165"/>
      <c r="T29" s="165"/>
    </row>
    <row r="30" spans="2:20" ht="15.75" thickBot="1" x14ac:dyDescent="0.3">
      <c r="B30" s="2"/>
      <c r="D30" s="238" t="s">
        <v>285</v>
      </c>
      <c r="E30" s="122"/>
      <c r="F30" s="122"/>
      <c r="G30" s="122"/>
      <c r="H30" s="122"/>
      <c r="I30" s="122"/>
      <c r="J30" s="122"/>
      <c r="K30" s="122"/>
      <c r="L30" s="122"/>
      <c r="M30" s="122"/>
      <c r="N30" s="122"/>
      <c r="O30" s="310">
        <f>O14-O16-O22-O24</f>
        <v>783</v>
      </c>
      <c r="Q30" s="3"/>
      <c r="R30" s="165"/>
      <c r="S30" s="165"/>
      <c r="T30" s="165"/>
    </row>
    <row r="31" spans="2:20" ht="5.0999999999999996" customHeight="1" x14ac:dyDescent="0.25">
      <c r="B31" s="2"/>
      <c r="D31" s="239"/>
      <c r="E31" s="142"/>
      <c r="F31" s="142"/>
      <c r="G31" s="142"/>
      <c r="H31" s="142"/>
      <c r="I31" s="142"/>
      <c r="J31" s="142"/>
      <c r="K31" s="142"/>
      <c r="L31" s="142"/>
      <c r="M31" s="142"/>
      <c r="N31" s="142"/>
      <c r="O31" s="240"/>
      <c r="Q31" s="3"/>
      <c r="R31" s="165"/>
      <c r="S31" s="165"/>
      <c r="T31" s="165"/>
    </row>
    <row r="32" spans="2:20" ht="5.0999999999999996" customHeight="1" x14ac:dyDescent="0.25">
      <c r="B32" s="2"/>
      <c r="Q32" s="3"/>
      <c r="R32" s="165"/>
      <c r="S32" s="165"/>
      <c r="T32" s="165"/>
    </row>
    <row r="33" spans="2:17" hidden="1" outlineLevel="1" x14ac:dyDescent="0.25">
      <c r="B33" s="20"/>
      <c r="C33" s="118" t="s">
        <v>5</v>
      </c>
      <c r="N33" s="115" t="e">
        <f>R122</f>
        <v>#REF!</v>
      </c>
      <c r="Q33" s="20"/>
    </row>
    <row r="34" spans="2:17" hidden="1" outlineLevel="1" x14ac:dyDescent="0.25">
      <c r="B34" s="20"/>
      <c r="Q34" s="20"/>
    </row>
    <row r="35" spans="2:17" hidden="1" outlineLevel="1" x14ac:dyDescent="0.25">
      <c r="B35" s="20"/>
      <c r="E35" s="77" t="s">
        <v>6</v>
      </c>
      <c r="F35" s="26"/>
      <c r="G35" s="26"/>
      <c r="H35" s="26"/>
      <c r="I35" s="26"/>
      <c r="J35" s="26"/>
      <c r="K35" s="26"/>
      <c r="L35" s="26"/>
      <c r="M35" s="26"/>
      <c r="N35" s="26"/>
      <c r="Q35" s="20"/>
    </row>
    <row r="36" spans="2:17" hidden="1" outlineLevel="1" x14ac:dyDescent="0.25">
      <c r="B36" s="20"/>
      <c r="Q36" s="20"/>
    </row>
    <row r="37" spans="2:17" hidden="1" outlineLevel="1" x14ac:dyDescent="0.25">
      <c r="B37" s="20"/>
      <c r="M37" s="8" t="s">
        <v>7</v>
      </c>
      <c r="N37" s="116">
        <f>O18</f>
        <v>60390</v>
      </c>
      <c r="Q37" s="20"/>
    </row>
    <row r="38" spans="2:17" hidden="1" outlineLevel="1" x14ac:dyDescent="0.25">
      <c r="B38" s="20"/>
      <c r="M38" s="8" t="s">
        <v>8</v>
      </c>
      <c r="N38" s="116" t="e">
        <f>N33</f>
        <v>#REF!</v>
      </c>
      <c r="Q38" s="20"/>
    </row>
    <row r="39" spans="2:17" hidden="1" outlineLevel="1" x14ac:dyDescent="0.25">
      <c r="B39" s="20"/>
      <c r="M39" s="8" t="s">
        <v>9</v>
      </c>
      <c r="N39" s="117">
        <v>0</v>
      </c>
      <c r="Q39" s="20"/>
    </row>
    <row r="40" spans="2:17" hidden="1" outlineLevel="1" x14ac:dyDescent="0.25">
      <c r="B40" s="20"/>
      <c r="M40" s="89" t="s">
        <v>10</v>
      </c>
      <c r="N40" s="25" t="e">
        <f>N39+N38+N37</f>
        <v>#REF!</v>
      </c>
      <c r="Q40" s="20"/>
    </row>
    <row r="41" spans="2:17" hidden="1" outlineLevel="1" x14ac:dyDescent="0.25">
      <c r="B41" s="20"/>
      <c r="M41" s="89" t="s">
        <v>11</v>
      </c>
      <c r="N41" s="8" t="e">
        <f>Z120</f>
        <v>#REF!</v>
      </c>
      <c r="Q41" s="20"/>
    </row>
    <row r="42" spans="2:17" ht="5.0999999999999996" customHeight="1" collapsed="1" x14ac:dyDescent="0.25">
      <c r="B42" s="20"/>
      <c r="Q42" s="20"/>
    </row>
    <row r="43" spans="2:17" ht="18.75" x14ac:dyDescent="0.3">
      <c r="B43" s="3"/>
      <c r="C43" s="145" t="s">
        <v>12</v>
      </c>
      <c r="D43" s="144"/>
      <c r="E43" s="144"/>
      <c r="F43" s="144"/>
      <c r="G43" s="144"/>
      <c r="H43" s="144"/>
      <c r="I43" s="144"/>
      <c r="J43" s="144"/>
      <c r="K43" s="144"/>
      <c r="L43" s="144"/>
      <c r="M43" s="144"/>
      <c r="N43" s="144"/>
      <c r="O43" s="144"/>
      <c r="P43" s="146"/>
      <c r="Q43" s="119"/>
    </row>
    <row r="44" spans="2:17" ht="5.0999999999999996" customHeight="1" thickBot="1" x14ac:dyDescent="0.35">
      <c r="B44" s="20"/>
      <c r="C44" s="143"/>
      <c r="D44" s="144"/>
      <c r="E44" s="144"/>
      <c r="F44" s="144"/>
      <c r="G44" s="144"/>
      <c r="H44" s="144"/>
      <c r="I44" s="144"/>
      <c r="J44" s="144"/>
      <c r="K44" s="144"/>
      <c r="L44" s="144"/>
      <c r="M44" s="144"/>
      <c r="N44" s="144"/>
      <c r="O44" s="144"/>
      <c r="P44" s="144"/>
      <c r="Q44" s="9"/>
    </row>
    <row r="45" spans="2:17" ht="15.75" thickBot="1" x14ac:dyDescent="0.3">
      <c r="B45" s="20"/>
      <c r="G45" s="340" t="s">
        <v>85</v>
      </c>
      <c r="H45" s="342"/>
      <c r="I45" s="340" t="s">
        <v>286</v>
      </c>
      <c r="J45" s="341"/>
      <c r="K45" s="342"/>
      <c r="L45" s="10"/>
      <c r="M45" s="242"/>
      <c r="N45" s="242"/>
      <c r="O45" s="242"/>
      <c r="Q45" s="9"/>
    </row>
    <row r="46" spans="2:17" ht="57" customHeight="1" x14ac:dyDescent="0.25">
      <c r="B46" s="20"/>
      <c r="G46" s="343" t="s">
        <v>295</v>
      </c>
      <c r="H46" s="344"/>
      <c r="I46" s="245" t="s">
        <v>287</v>
      </c>
      <c r="J46" s="11" t="s">
        <v>288</v>
      </c>
      <c r="K46" s="12" t="s">
        <v>289</v>
      </c>
      <c r="L46" s="241" t="s">
        <v>18</v>
      </c>
      <c r="M46" s="195"/>
      <c r="N46" s="195"/>
      <c r="O46" s="243"/>
      <c r="Q46" s="9"/>
    </row>
    <row r="47" spans="2:17" ht="15.75" thickBot="1" x14ac:dyDescent="0.3">
      <c r="B47" s="20"/>
      <c r="G47" s="345">
        <v>20254</v>
      </c>
      <c r="H47" s="346"/>
      <c r="I47" s="246">
        <f>O30</f>
        <v>783</v>
      </c>
      <c r="J47" s="309">
        <v>4.63</v>
      </c>
      <c r="K47" s="247">
        <f>J47*I47</f>
        <v>3625.29</v>
      </c>
      <c r="L47" s="248">
        <f>K47+G47</f>
        <v>23879.29</v>
      </c>
      <c r="M47" s="236"/>
      <c r="N47" s="236"/>
      <c r="O47" s="244"/>
      <c r="Q47" s="9"/>
    </row>
    <row r="48" spans="2:17" x14ac:dyDescent="0.25">
      <c r="B48" s="20"/>
      <c r="C48" s="9"/>
      <c r="D48" s="9"/>
      <c r="E48" s="9"/>
      <c r="F48" s="9"/>
      <c r="G48" s="9"/>
      <c r="H48" s="9"/>
      <c r="I48" s="9"/>
      <c r="J48" s="9"/>
      <c r="K48" s="9"/>
      <c r="L48" s="9"/>
      <c r="M48" s="9"/>
      <c r="N48" s="9"/>
      <c r="O48" s="9"/>
      <c r="P48" s="9"/>
      <c r="Q48" s="9"/>
    </row>
    <row r="49" spans="2:17" ht="18.75" x14ac:dyDescent="0.3">
      <c r="B49" s="3"/>
      <c r="C49" s="46"/>
      <c r="D49" s="45"/>
      <c r="E49" s="45"/>
      <c r="F49" s="45"/>
      <c r="G49" s="45"/>
      <c r="H49" s="48"/>
      <c r="I49" s="44" t="s">
        <v>19</v>
      </c>
      <c r="J49" s="48"/>
      <c r="K49" s="45"/>
      <c r="L49" s="45"/>
      <c r="M49" s="45"/>
      <c r="N49" s="45"/>
      <c r="O49" s="45"/>
      <c r="P49" s="6"/>
      <c r="Q49" s="43"/>
    </row>
    <row r="50" spans="2:17" ht="5.0999999999999996" customHeight="1" x14ac:dyDescent="0.3">
      <c r="B50" s="3"/>
      <c r="C50" s="46"/>
      <c r="D50" s="45"/>
      <c r="E50" s="45"/>
      <c r="F50" s="45"/>
      <c r="G50" s="50"/>
      <c r="H50" s="26"/>
      <c r="I50" s="147"/>
      <c r="J50" s="26"/>
      <c r="K50" s="45"/>
      <c r="L50" s="45"/>
      <c r="M50" s="45"/>
      <c r="N50" s="45"/>
      <c r="O50" s="45"/>
      <c r="P50" s="6"/>
      <c r="Q50" s="43"/>
    </row>
    <row r="51" spans="2:17" ht="30" x14ac:dyDescent="0.25">
      <c r="B51" s="3"/>
      <c r="C51" s="47"/>
      <c r="D51" s="6"/>
      <c r="E51" s="6"/>
      <c r="F51" s="6"/>
      <c r="G51" s="43"/>
      <c r="H51" s="195"/>
      <c r="I51" s="196" t="s">
        <v>18</v>
      </c>
      <c r="K51" s="6"/>
      <c r="L51" s="6"/>
      <c r="M51" s="6"/>
      <c r="N51" s="6"/>
      <c r="O51" s="6"/>
      <c r="P51" s="6"/>
      <c r="Q51" s="43"/>
    </row>
    <row r="52" spans="2:17" x14ac:dyDescent="0.25">
      <c r="B52" s="3"/>
      <c r="C52" s="47"/>
      <c r="D52" s="6"/>
      <c r="E52" s="6"/>
      <c r="F52" s="6"/>
      <c r="G52" s="43"/>
      <c r="H52" s="170"/>
      <c r="I52" s="197">
        <v>8000</v>
      </c>
      <c r="K52" s="6"/>
      <c r="L52" s="6"/>
      <c r="M52" s="6"/>
      <c r="N52" s="6"/>
      <c r="O52" s="6"/>
      <c r="P52" s="6"/>
      <c r="Q52" s="43"/>
    </row>
    <row r="53" spans="2:17" ht="20.45" customHeight="1" x14ac:dyDescent="0.25">
      <c r="B53" s="3"/>
      <c r="C53" s="42"/>
      <c r="D53" s="6"/>
      <c r="E53" s="6"/>
      <c r="F53" s="6"/>
      <c r="G53" s="6"/>
      <c r="H53" s="6"/>
      <c r="I53" s="6"/>
      <c r="J53" s="6"/>
      <c r="K53" s="6"/>
      <c r="L53" s="6"/>
      <c r="M53" s="6"/>
      <c r="N53" s="6"/>
      <c r="O53" s="6"/>
      <c r="P53" s="6"/>
      <c r="Q53" s="43"/>
    </row>
    <row r="54" spans="2:17" x14ac:dyDescent="0.25">
      <c r="B54" s="3"/>
      <c r="C54" s="42"/>
      <c r="D54" s="6"/>
      <c r="E54" s="1"/>
      <c r="F54" s="1"/>
      <c r="G54" s="1"/>
      <c r="H54" s="1"/>
      <c r="I54" s="1"/>
      <c r="J54" s="1"/>
      <c r="K54" s="1"/>
      <c r="L54" s="6"/>
      <c r="M54" s="6"/>
      <c r="N54" s="6"/>
      <c r="O54" s="6"/>
      <c r="P54" s="6"/>
      <c r="Q54" s="43"/>
    </row>
    <row r="55" spans="2:17" ht="26.25" x14ac:dyDescent="0.4">
      <c r="B55" s="3"/>
      <c r="C55" s="151" t="s">
        <v>20</v>
      </c>
      <c r="D55" s="6"/>
      <c r="E55" s="1"/>
      <c r="F55" s="1"/>
      <c r="G55" s="1"/>
      <c r="H55" s="1"/>
      <c r="I55" s="1"/>
      <c r="J55" s="1"/>
      <c r="K55" s="1"/>
      <c r="L55" s="6"/>
      <c r="M55" s="6"/>
      <c r="N55" s="6"/>
      <c r="O55" s="6"/>
      <c r="P55" s="6"/>
      <c r="Q55" s="43"/>
    </row>
    <row r="56" spans="2:17" x14ac:dyDescent="0.25">
      <c r="B56" s="3"/>
      <c r="C56" s="42"/>
      <c r="D56" s="6"/>
      <c r="E56" s="1"/>
      <c r="F56" s="1"/>
      <c r="G56" s="1"/>
      <c r="H56" s="1"/>
      <c r="I56" s="1"/>
      <c r="J56" s="1"/>
      <c r="K56" s="1"/>
      <c r="L56" s="6"/>
      <c r="M56" s="6"/>
      <c r="N56" s="6"/>
      <c r="O56" s="6"/>
      <c r="P56" s="6"/>
      <c r="Q56" s="43"/>
    </row>
    <row r="57" spans="2:17" x14ac:dyDescent="0.25">
      <c r="B57" s="3"/>
      <c r="C57" s="54" t="s">
        <v>21</v>
      </c>
      <c r="D57" s="55"/>
      <c r="E57" s="55"/>
      <c r="F57" s="55"/>
      <c r="G57" s="55"/>
      <c r="H57" s="55"/>
      <c r="I57" s="55"/>
      <c r="J57" s="58" t="s">
        <v>22</v>
      </c>
      <c r="K57" s="56" t="s">
        <v>23</v>
      </c>
      <c r="L57" s="56"/>
      <c r="M57" s="56"/>
      <c r="N57" s="56"/>
      <c r="P57" s="58" t="s">
        <v>22</v>
      </c>
      <c r="Q57" s="43"/>
    </row>
    <row r="58" spans="2:17" x14ac:dyDescent="0.25">
      <c r="B58" s="20"/>
      <c r="C58" s="61"/>
      <c r="D58" s="60"/>
      <c r="E58" s="18"/>
      <c r="F58" s="18" t="s">
        <v>266</v>
      </c>
      <c r="G58" s="163">
        <v>32.74</v>
      </c>
      <c r="H58" s="60"/>
      <c r="I58" s="60"/>
      <c r="J58" s="49"/>
      <c r="K58" s="6"/>
      <c r="L58" s="6"/>
      <c r="M58" s="51" t="s">
        <v>24</v>
      </c>
      <c r="N58" s="161">
        <v>9.35</v>
      </c>
      <c r="P58" s="52"/>
      <c r="Q58" s="43"/>
    </row>
    <row r="59" spans="2:17" x14ac:dyDescent="0.25">
      <c r="B59" s="20"/>
      <c r="C59" s="125"/>
      <c r="D59" s="7"/>
      <c r="E59" s="126"/>
      <c r="F59" s="18" t="s">
        <v>267</v>
      </c>
      <c r="G59" s="163" t="s">
        <v>268</v>
      </c>
      <c r="H59" s="60"/>
      <c r="I59" s="60"/>
      <c r="J59" s="49"/>
      <c r="K59" s="6"/>
      <c r="M59" s="53" t="s">
        <v>25</v>
      </c>
      <c r="N59" s="162">
        <v>9.2799999999999994</v>
      </c>
      <c r="O59" t="s">
        <v>26</v>
      </c>
      <c r="P59" s="1"/>
      <c r="Q59" s="43"/>
    </row>
    <row r="60" spans="2:17" x14ac:dyDescent="0.25">
      <c r="B60" s="20"/>
      <c r="C60" s="127"/>
      <c r="D60" s="24"/>
      <c r="E60" s="24"/>
      <c r="F60" s="227"/>
      <c r="G60" s="228"/>
      <c r="H60" s="228"/>
      <c r="I60" s="228"/>
      <c r="J60" s="229"/>
      <c r="K60" s="65"/>
      <c r="L60" s="65"/>
      <c r="M60" s="6"/>
      <c r="N60" s="6"/>
      <c r="O60" s="6"/>
      <c r="P60" s="6"/>
      <c r="Q60" s="43"/>
    </row>
    <row r="61" spans="2:17" ht="15.75" x14ac:dyDescent="0.25">
      <c r="B61" s="20"/>
      <c r="F61" s="336" t="s">
        <v>269</v>
      </c>
      <c r="G61" s="336"/>
      <c r="H61" s="336"/>
      <c r="I61" s="336"/>
      <c r="J61" s="336"/>
      <c r="K61" s="336"/>
      <c r="L61" s="144"/>
      <c r="M61" s="226"/>
      <c r="N61" s="128"/>
      <c r="O61" s="6"/>
      <c r="P61" s="6"/>
      <c r="Q61" s="43"/>
    </row>
    <row r="62" spans="2:17" x14ac:dyDescent="0.25">
      <c r="B62" s="20"/>
      <c r="F62" s="329" t="s">
        <v>270</v>
      </c>
      <c r="G62" s="330"/>
      <c r="H62" s="331"/>
      <c r="I62" s="326" t="s">
        <v>271</v>
      </c>
      <c r="J62" s="327"/>
      <c r="K62" s="328"/>
      <c r="L62" s="144"/>
      <c r="M62" s="226"/>
      <c r="N62" s="128"/>
      <c r="O62" s="52"/>
      <c r="P62" s="6"/>
      <c r="Q62" s="43"/>
    </row>
    <row r="63" spans="2:17" x14ac:dyDescent="0.25">
      <c r="B63" s="20"/>
      <c r="F63" s="230" t="s">
        <v>14</v>
      </c>
      <c r="G63" s="332" t="s">
        <v>272</v>
      </c>
      <c r="H63" s="332"/>
      <c r="I63" s="231">
        <v>4.63</v>
      </c>
      <c r="J63" s="320" t="s">
        <v>273</v>
      </c>
      <c r="K63" s="321"/>
      <c r="L63" s="144"/>
      <c r="M63" s="226"/>
      <c r="N63" s="129"/>
      <c r="O63" s="59"/>
      <c r="P63" s="57"/>
      <c r="Q63" s="43"/>
    </row>
    <row r="64" spans="2:17" x14ac:dyDescent="0.25">
      <c r="B64" s="20"/>
      <c r="F64" s="232" t="s">
        <v>15</v>
      </c>
      <c r="G64" s="333" t="s">
        <v>275</v>
      </c>
      <c r="H64" s="333"/>
      <c r="I64" s="233">
        <v>8.1</v>
      </c>
      <c r="J64" s="322" t="s">
        <v>273</v>
      </c>
      <c r="K64" s="323"/>
      <c r="L64" s="144"/>
      <c r="M64" s="226"/>
      <c r="N64" s="128"/>
      <c r="O64" s="6"/>
      <c r="P64" s="6"/>
      <c r="Q64" s="43"/>
    </row>
    <row r="65" spans="2:17" x14ac:dyDescent="0.25">
      <c r="B65" s="20"/>
      <c r="F65" s="234" t="s">
        <v>16</v>
      </c>
      <c r="G65" s="319" t="s">
        <v>274</v>
      </c>
      <c r="H65" s="319"/>
      <c r="I65" s="235">
        <v>9.9499999999999993</v>
      </c>
      <c r="J65" s="324" t="s">
        <v>273</v>
      </c>
      <c r="K65" s="325"/>
      <c r="L65" s="144"/>
      <c r="M65" s="226"/>
      <c r="N65" s="128"/>
      <c r="O65" s="6"/>
      <c r="P65" s="6"/>
      <c r="Q65" s="43"/>
    </row>
    <row r="66" spans="2:17" x14ac:dyDescent="0.25">
      <c r="B66" s="3"/>
      <c r="C66" s="42"/>
      <c r="D66" s="6"/>
      <c r="E66" s="6"/>
      <c r="F66" s="6"/>
      <c r="G66" s="6"/>
      <c r="H66" s="6"/>
      <c r="I66" s="6"/>
      <c r="J66" s="6"/>
      <c r="K66" s="6"/>
      <c r="L66" s="6"/>
      <c r="M66" s="6"/>
      <c r="N66" s="6"/>
      <c r="O66" s="6"/>
      <c r="P66" s="6"/>
      <c r="Q66" s="43"/>
    </row>
    <row r="67" spans="2:17" x14ac:dyDescent="0.25">
      <c r="B67" s="3"/>
      <c r="C67" s="42"/>
      <c r="D67" s="6"/>
      <c r="E67" s="6"/>
      <c r="F67" s="6"/>
      <c r="G67" s="6"/>
      <c r="H67" s="6"/>
      <c r="I67" s="6"/>
      <c r="J67" s="6"/>
      <c r="K67" s="6"/>
      <c r="L67" s="6"/>
      <c r="M67" s="6"/>
      <c r="N67" s="6"/>
      <c r="O67" s="6"/>
      <c r="P67" s="6"/>
      <c r="Q67" s="43"/>
    </row>
    <row r="68" spans="2:17" x14ac:dyDescent="0.25">
      <c r="B68" s="3"/>
      <c r="C68" s="42"/>
      <c r="D68" s="6"/>
      <c r="E68" s="6"/>
      <c r="F68" s="6"/>
      <c r="G68" s="6"/>
      <c r="H68" s="6"/>
      <c r="I68" s="6"/>
      <c r="J68" s="6"/>
      <c r="K68" s="6"/>
      <c r="L68" s="6"/>
      <c r="M68" s="6"/>
      <c r="N68" s="6"/>
      <c r="O68" s="6"/>
      <c r="P68" s="6"/>
      <c r="Q68" s="43"/>
    </row>
    <row r="69" spans="2:17" ht="26.25" x14ac:dyDescent="0.4">
      <c r="B69" s="3"/>
      <c r="C69" s="151" t="s">
        <v>27</v>
      </c>
      <c r="D69" s="6"/>
      <c r="E69" s="6"/>
      <c r="F69" s="6"/>
      <c r="G69" s="6"/>
      <c r="H69" s="6"/>
      <c r="I69" s="6"/>
      <c r="J69" s="6"/>
      <c r="K69" s="6"/>
      <c r="L69" s="6"/>
      <c r="M69" s="6"/>
      <c r="N69" s="6"/>
      <c r="O69" s="6"/>
      <c r="P69" s="6"/>
      <c r="Q69" s="43"/>
    </row>
    <row r="70" spans="2:17" ht="15" customHeight="1" x14ac:dyDescent="0.25">
      <c r="B70" s="3"/>
      <c r="C70" s="68" t="s">
        <v>280</v>
      </c>
      <c r="D70" s="6"/>
      <c r="E70" s="6"/>
      <c r="F70" s="6"/>
      <c r="G70" s="6"/>
      <c r="H70" s="6"/>
      <c r="I70" s="6"/>
      <c r="J70" s="6"/>
      <c r="K70" s="6"/>
      <c r="L70" s="6"/>
      <c r="M70" s="6"/>
      <c r="N70" s="6"/>
      <c r="O70" s="6"/>
      <c r="P70" s="6"/>
      <c r="Q70" s="43"/>
    </row>
    <row r="71" spans="2:17" ht="15" customHeight="1" x14ac:dyDescent="0.25">
      <c r="B71" s="3"/>
      <c r="C71" s="68" t="s">
        <v>277</v>
      </c>
      <c r="D71" s="6"/>
      <c r="E71" s="6"/>
      <c r="F71" s="6"/>
      <c r="G71" s="6"/>
      <c r="H71" s="6"/>
      <c r="I71" s="6"/>
      <c r="J71" s="6"/>
      <c r="K71" s="6"/>
      <c r="L71" s="6"/>
      <c r="M71" s="6"/>
      <c r="N71" s="6"/>
      <c r="O71" s="6"/>
      <c r="P71" s="6"/>
      <c r="Q71" s="43"/>
    </row>
    <row r="72" spans="2:17" ht="15" customHeight="1" x14ac:dyDescent="0.25">
      <c r="B72" s="3"/>
      <c r="C72" s="68" t="s">
        <v>279</v>
      </c>
      <c r="D72" s="6"/>
      <c r="E72" s="1"/>
      <c r="F72" s="1"/>
      <c r="G72" s="1"/>
      <c r="H72" s="1"/>
      <c r="I72" s="1"/>
      <c r="J72" s="1"/>
      <c r="K72" s="1"/>
      <c r="L72" s="1"/>
      <c r="M72" s="1"/>
      <c r="N72" s="1"/>
      <c r="O72" s="1"/>
      <c r="P72" s="1"/>
      <c r="Q72" s="43"/>
    </row>
    <row r="73" spans="2:17" ht="15" customHeight="1" x14ac:dyDescent="0.25">
      <c r="B73" s="3"/>
      <c r="C73" s="61" t="s">
        <v>278</v>
      </c>
      <c r="D73" s="1"/>
      <c r="E73" s="1"/>
      <c r="F73" s="1"/>
      <c r="G73" s="1"/>
      <c r="H73" s="1"/>
      <c r="I73" s="1"/>
      <c r="J73" s="1"/>
      <c r="K73" s="1"/>
      <c r="L73" s="1"/>
      <c r="M73" s="1"/>
      <c r="N73" s="1"/>
      <c r="O73" s="1"/>
      <c r="P73" s="1"/>
      <c r="Q73" s="43"/>
    </row>
    <row r="74" spans="2:17" ht="15" customHeight="1" x14ac:dyDescent="0.25">
      <c r="B74" s="3"/>
      <c r="C74" s="61"/>
      <c r="D74" s="1"/>
      <c r="E74" s="1"/>
      <c r="F74" s="1"/>
      <c r="G74" s="1"/>
      <c r="H74" s="1"/>
      <c r="I74" s="1"/>
      <c r="J74" s="1"/>
      <c r="K74" s="1"/>
      <c r="L74" s="1"/>
      <c r="M74" s="1"/>
      <c r="N74" s="1"/>
      <c r="O74" s="1"/>
      <c r="P74" s="1"/>
      <c r="Q74" s="43"/>
    </row>
    <row r="75" spans="2:17" ht="15" customHeight="1" x14ac:dyDescent="0.25">
      <c r="B75" s="3"/>
      <c r="C75" s="61"/>
      <c r="D75" s="1"/>
      <c r="E75" s="1"/>
      <c r="F75" s="1"/>
      <c r="G75" s="1"/>
      <c r="H75" s="1"/>
      <c r="I75" s="1"/>
      <c r="J75" s="69" t="s">
        <v>28</v>
      </c>
      <c r="K75" s="70">
        <v>1</v>
      </c>
      <c r="L75" s="1"/>
      <c r="M75" s="1"/>
      <c r="N75" s="1"/>
      <c r="O75" s="1"/>
      <c r="P75" s="1"/>
      <c r="Q75" s="43"/>
    </row>
    <row r="76" spans="2:17" x14ac:dyDescent="0.25">
      <c r="B76" s="3"/>
      <c r="C76" s="42"/>
      <c r="D76" s="6"/>
      <c r="E76" s="65"/>
      <c r="F76" s="65"/>
      <c r="G76" s="65"/>
      <c r="H76" s="65"/>
      <c r="I76" s="65"/>
      <c r="J76" s="65"/>
      <c r="K76" s="65"/>
      <c r="L76" s="65"/>
      <c r="M76" s="65"/>
      <c r="N76" s="65"/>
      <c r="O76" s="65"/>
      <c r="P76" s="65"/>
      <c r="Q76" s="43"/>
    </row>
    <row r="77" spans="2:17" x14ac:dyDescent="0.25">
      <c r="B77" s="3"/>
      <c r="C77" s="66"/>
      <c r="D77" s="67"/>
      <c r="E77" s="152" t="s">
        <v>29</v>
      </c>
      <c r="F77" s="152" t="s">
        <v>30</v>
      </c>
      <c r="G77" s="152" t="s">
        <v>31</v>
      </c>
      <c r="H77" s="152" t="s">
        <v>32</v>
      </c>
      <c r="I77" s="152" t="s">
        <v>33</v>
      </c>
      <c r="J77" s="152" t="s">
        <v>34</v>
      </c>
      <c r="K77" s="152" t="s">
        <v>35</v>
      </c>
      <c r="L77" s="152" t="s">
        <v>36</v>
      </c>
      <c r="M77" s="152" t="s">
        <v>37</v>
      </c>
      <c r="N77" s="152" t="s">
        <v>38</v>
      </c>
      <c r="O77" s="152" t="s">
        <v>39</v>
      </c>
      <c r="P77" s="152" t="s">
        <v>40</v>
      </c>
      <c r="Q77" s="64"/>
    </row>
    <row r="78" spans="2:17" x14ac:dyDescent="0.25">
      <c r="B78" s="20"/>
      <c r="C78" s="72"/>
      <c r="D78" s="153" t="s">
        <v>276</v>
      </c>
      <c r="E78" s="156">
        <v>5.0324999999999998</v>
      </c>
      <c r="F78" s="157">
        <v>5.0324999999999998</v>
      </c>
      <c r="G78" s="157">
        <v>5.57136546</v>
      </c>
      <c r="H78" s="157">
        <v>8.8045582200000005</v>
      </c>
      <c r="I78" s="157">
        <v>12.57661644</v>
      </c>
      <c r="J78" s="157">
        <v>15.8098092</v>
      </c>
      <c r="K78" s="157">
        <v>15.8098092</v>
      </c>
      <c r="L78" s="157">
        <v>14.73207828</v>
      </c>
      <c r="M78" s="157">
        <v>11.49888552</v>
      </c>
      <c r="N78" s="157">
        <v>8.8045582200000005</v>
      </c>
      <c r="O78" s="157">
        <v>5.57136546</v>
      </c>
      <c r="P78" s="157">
        <v>5.0324999999999998</v>
      </c>
      <c r="Q78" s="64"/>
    </row>
    <row r="79" spans="2:17" x14ac:dyDescent="0.25">
      <c r="B79" s="20"/>
      <c r="C79" s="72"/>
      <c r="D79" s="154" t="s">
        <v>41</v>
      </c>
      <c r="E79" s="158">
        <f>5*I63+G58</f>
        <v>55.89</v>
      </c>
      <c r="F79" s="158">
        <f>E79</f>
        <v>55.89</v>
      </c>
      <c r="G79" s="159">
        <f>5.6*I63+G58</f>
        <v>58.667999999999999</v>
      </c>
      <c r="H79" s="158">
        <f>8.8*I63+G58</f>
        <v>73.484000000000009</v>
      </c>
      <c r="I79" s="159">
        <f>12.6*I63+G58</f>
        <v>91.078000000000003</v>
      </c>
      <c r="J79" s="159">
        <f>15*I63+0.8*I64+G58</f>
        <v>108.67000000000002</v>
      </c>
      <c r="K79" s="159">
        <f>J79</f>
        <v>108.67000000000002</v>
      </c>
      <c r="L79" s="159">
        <f>14.7*I63+G58</f>
        <v>100.80099999999999</v>
      </c>
      <c r="M79" s="159">
        <f>11.5*I63+G58</f>
        <v>85.984999999999999</v>
      </c>
      <c r="N79" s="159">
        <f>H79</f>
        <v>73.484000000000009</v>
      </c>
      <c r="O79" s="159">
        <f>G79</f>
        <v>58.667999999999999</v>
      </c>
      <c r="P79" s="159">
        <f>E79</f>
        <v>55.89</v>
      </c>
      <c r="Q79" s="64"/>
    </row>
    <row r="80" spans="2:17" x14ac:dyDescent="0.25">
      <c r="B80" s="20"/>
      <c r="C80" s="72"/>
      <c r="D80" s="154" t="s">
        <v>42</v>
      </c>
      <c r="E80" s="158">
        <f>E78*N59+N58</f>
        <v>56.051599999999993</v>
      </c>
      <c r="F80" s="159">
        <v>71.618799999999993</v>
      </c>
      <c r="G80" s="159">
        <v>71.618799999999993</v>
      </c>
      <c r="H80" s="159">
        <v>71.618799999999993</v>
      </c>
      <c r="I80" s="159">
        <v>71.618799999999993</v>
      </c>
      <c r="J80" s="159">
        <v>71.618799999999993</v>
      </c>
      <c r="K80" s="159">
        <v>71.618799999999993</v>
      </c>
      <c r="L80" s="159">
        <v>71.618799999999993</v>
      </c>
      <c r="M80" s="159">
        <v>71.618799999999993</v>
      </c>
      <c r="N80" s="159">
        <v>71.618799999999993</v>
      </c>
      <c r="O80" s="159">
        <v>71.618799999999993</v>
      </c>
      <c r="P80" s="159">
        <v>71.618799999999993</v>
      </c>
      <c r="Q80" s="64"/>
    </row>
    <row r="81" spans="1:62" x14ac:dyDescent="0.25">
      <c r="B81" s="20"/>
      <c r="C81" s="72"/>
      <c r="D81" s="154" t="s">
        <v>43</v>
      </c>
      <c r="E81" s="158">
        <f>E80+E79</f>
        <v>111.94159999999999</v>
      </c>
      <c r="F81" s="159">
        <f t="shared" ref="F81:P81" si="0">F80+F79</f>
        <v>127.50879999999999</v>
      </c>
      <c r="G81" s="159">
        <f t="shared" si="0"/>
        <v>130.2868</v>
      </c>
      <c r="H81" s="159">
        <f t="shared" si="0"/>
        <v>145.1028</v>
      </c>
      <c r="I81" s="159">
        <f t="shared" si="0"/>
        <v>162.6968</v>
      </c>
      <c r="J81" s="159">
        <f t="shared" si="0"/>
        <v>180.28880000000001</v>
      </c>
      <c r="K81" s="159">
        <f t="shared" si="0"/>
        <v>180.28880000000001</v>
      </c>
      <c r="L81" s="159">
        <f t="shared" si="0"/>
        <v>172.41979999999998</v>
      </c>
      <c r="M81" s="159">
        <f t="shared" si="0"/>
        <v>157.60379999999998</v>
      </c>
      <c r="N81" s="159">
        <f t="shared" si="0"/>
        <v>145.1028</v>
      </c>
      <c r="O81" s="159">
        <f t="shared" si="0"/>
        <v>130.2868</v>
      </c>
      <c r="P81" s="159">
        <f t="shared" si="0"/>
        <v>127.50879999999999</v>
      </c>
      <c r="Q81" s="64"/>
    </row>
    <row r="82" spans="1:62" ht="15.75" thickBot="1" x14ac:dyDescent="0.3">
      <c r="B82" s="20"/>
      <c r="C82" s="42"/>
      <c r="D82" s="51"/>
      <c r="E82" s="71"/>
      <c r="F82" s="71"/>
      <c r="G82" s="71"/>
      <c r="H82" s="148"/>
      <c r="I82" s="148"/>
      <c r="J82" s="148"/>
      <c r="K82" s="71"/>
      <c r="L82" s="71"/>
      <c r="M82" s="71"/>
      <c r="N82" s="71"/>
      <c r="O82" s="71"/>
      <c r="P82" s="71"/>
      <c r="Q82" s="64"/>
    </row>
    <row r="83" spans="1:62" ht="15.75" thickBot="1" x14ac:dyDescent="0.3">
      <c r="B83" s="3"/>
      <c r="C83" s="42"/>
      <c r="D83" s="51"/>
      <c r="E83" s="6"/>
      <c r="F83" s="6"/>
      <c r="G83" s="43"/>
      <c r="H83" s="149"/>
      <c r="I83" s="150" t="s">
        <v>44</v>
      </c>
      <c r="J83" s="160">
        <f>SUM(E81:P81)</f>
        <v>1771.0364000000002</v>
      </c>
      <c r="K83" s="49"/>
      <c r="L83" s="6"/>
      <c r="M83" s="6"/>
      <c r="N83" s="6"/>
      <c r="O83" s="6"/>
      <c r="P83" s="6"/>
      <c r="Q83" s="43"/>
    </row>
    <row r="84" spans="1:62" x14ac:dyDescent="0.25">
      <c r="B84" s="3"/>
      <c r="C84" s="1"/>
      <c r="D84" s="1"/>
      <c r="E84" s="1"/>
      <c r="F84" s="1"/>
      <c r="G84" s="1"/>
      <c r="H84" s="6"/>
      <c r="I84" s="6"/>
      <c r="J84" s="6"/>
      <c r="K84" s="1"/>
      <c r="L84" s="1"/>
      <c r="M84" s="1"/>
      <c r="N84" s="1"/>
      <c r="O84" s="1"/>
      <c r="P84" s="1"/>
      <c r="Q84" s="2"/>
    </row>
    <row r="85" spans="1:62" ht="15.75" thickBot="1" x14ac:dyDescent="0.3">
      <c r="B85" s="20"/>
    </row>
    <row r="86" spans="1:62" ht="15.75" thickBot="1" x14ac:dyDescent="0.3">
      <c r="B86" s="20"/>
      <c r="C86" s="133" t="s">
        <v>45</v>
      </c>
      <c r="D86" s="133"/>
      <c r="E86" s="133"/>
      <c r="F86" s="133"/>
      <c r="G86" s="133"/>
      <c r="H86" s="133"/>
      <c r="I86" s="133"/>
      <c r="J86" s="133"/>
      <c r="K86" s="133"/>
      <c r="L86" s="133"/>
      <c r="M86" s="133"/>
      <c r="N86" s="133"/>
      <c r="O86" s="133"/>
      <c r="P86" s="133"/>
      <c r="Q86" s="13"/>
    </row>
    <row r="87" spans="1:62" ht="15.75" thickBot="1" x14ac:dyDescent="0.3">
      <c r="B87" s="20"/>
      <c r="C87" s="130" t="s">
        <v>46</v>
      </c>
      <c r="D87" s="131"/>
      <c r="E87" s="131"/>
      <c r="F87" s="131"/>
      <c r="G87" s="131"/>
      <c r="H87" s="132"/>
      <c r="I87" s="131"/>
      <c r="J87" s="131"/>
      <c r="K87" s="131"/>
      <c r="L87" s="131"/>
      <c r="M87" s="131"/>
      <c r="N87" s="131"/>
      <c r="O87" s="131"/>
      <c r="P87" s="131"/>
      <c r="Q87" s="120"/>
    </row>
    <row r="88" spans="1:62" ht="15.75" thickBot="1" x14ac:dyDescent="0.3">
      <c r="B88" s="20"/>
      <c r="C88" s="14" t="s">
        <v>47</v>
      </c>
      <c r="D88" s="15"/>
      <c r="E88" s="15"/>
      <c r="F88" s="15"/>
      <c r="G88" s="15"/>
      <c r="H88" s="16"/>
      <c r="I88" s="15"/>
      <c r="J88" s="15"/>
      <c r="K88" s="15"/>
      <c r="L88" s="15"/>
      <c r="M88" s="15"/>
      <c r="N88" s="15"/>
      <c r="O88" s="15"/>
      <c r="P88" s="15"/>
      <c r="Q88" s="120"/>
    </row>
    <row r="89" spans="1:62" ht="15.75" thickBot="1" x14ac:dyDescent="0.3">
      <c r="B89" s="20"/>
      <c r="C89" s="15" t="s">
        <v>48</v>
      </c>
      <c r="D89" s="15"/>
      <c r="E89" s="15"/>
      <c r="F89" s="15"/>
      <c r="G89" s="15"/>
      <c r="H89" s="16"/>
      <c r="I89" s="15"/>
      <c r="J89" s="15"/>
      <c r="K89" s="15"/>
      <c r="L89" s="15"/>
      <c r="M89" s="15"/>
      <c r="N89" s="15"/>
      <c r="O89" s="15"/>
      <c r="P89" s="15"/>
      <c r="Q89" s="120"/>
    </row>
    <row r="90" spans="1:62" ht="15.75" thickBot="1" x14ac:dyDescent="0.3">
      <c r="B90" s="20"/>
      <c r="C90" s="14" t="s">
        <v>49</v>
      </c>
      <c r="D90" s="15"/>
      <c r="E90" s="15"/>
      <c r="F90" s="15"/>
      <c r="G90" s="15"/>
      <c r="H90" s="16"/>
      <c r="I90" s="15"/>
      <c r="J90" s="15"/>
      <c r="K90" s="15"/>
      <c r="L90" s="15"/>
      <c r="M90" s="15"/>
      <c r="N90" s="15"/>
      <c r="O90" s="15"/>
      <c r="P90" s="15"/>
      <c r="Q90" s="120"/>
    </row>
    <row r="91" spans="1:62" ht="15.75" thickBot="1" x14ac:dyDescent="0.3">
      <c r="B91" s="20"/>
      <c r="C91" s="14" t="s">
        <v>50</v>
      </c>
      <c r="D91" s="15"/>
      <c r="E91" s="15"/>
      <c r="F91" s="15"/>
      <c r="G91" s="15"/>
      <c r="H91" s="15"/>
      <c r="I91" s="15"/>
      <c r="J91" s="15"/>
      <c r="K91" s="15"/>
      <c r="L91" s="15"/>
      <c r="M91" s="15"/>
      <c r="N91" s="15"/>
      <c r="O91" s="15"/>
      <c r="P91" s="15"/>
      <c r="Q91" s="120"/>
    </row>
    <row r="92" spans="1:62" ht="15.75" thickBot="1" x14ac:dyDescent="0.3">
      <c r="B92" s="20"/>
      <c r="C92" s="14" t="s">
        <v>51</v>
      </c>
      <c r="D92" s="15"/>
      <c r="E92" s="15"/>
      <c r="F92" s="15"/>
      <c r="G92" s="15"/>
      <c r="H92" s="15"/>
      <c r="I92" s="15"/>
      <c r="J92" s="15"/>
      <c r="K92" s="15"/>
      <c r="L92" s="15"/>
      <c r="M92" s="15"/>
      <c r="N92" s="15"/>
      <c r="O92" s="15"/>
      <c r="P92" s="15"/>
      <c r="Q92" s="120"/>
    </row>
    <row r="93" spans="1:62" x14ac:dyDescent="0.25">
      <c r="B93" s="3"/>
      <c r="C93" s="21" t="s">
        <v>52</v>
      </c>
      <c r="D93" s="22"/>
      <c r="E93" s="22"/>
      <c r="F93" s="22"/>
      <c r="G93" s="22"/>
      <c r="H93" s="22"/>
      <c r="I93" s="22"/>
      <c r="J93" s="22"/>
      <c r="K93" s="22"/>
      <c r="L93" s="22"/>
      <c r="M93" s="22"/>
      <c r="N93" s="22"/>
      <c r="O93" s="22"/>
      <c r="P93" s="22"/>
      <c r="Q93" s="121"/>
    </row>
    <row r="94" spans="1:62" x14ac:dyDescent="0.25">
      <c r="B94" s="17"/>
      <c r="C94" s="19"/>
      <c r="D94" s="19"/>
      <c r="E94" s="19"/>
      <c r="F94" s="19"/>
      <c r="G94" s="19"/>
      <c r="H94" s="19"/>
      <c r="I94" s="19"/>
      <c r="J94" s="19"/>
      <c r="K94" s="19"/>
      <c r="L94" s="19"/>
      <c r="M94" s="19"/>
      <c r="N94" s="19"/>
      <c r="O94" s="19"/>
      <c r="P94" s="19"/>
      <c r="Q94" s="23"/>
    </row>
    <row r="95" spans="1:62" x14ac:dyDescent="0.25">
      <c r="A95" s="164"/>
      <c r="B95" s="164"/>
      <c r="C95" s="164"/>
      <c r="D95" s="164"/>
      <c r="E95" s="164"/>
      <c r="F95" s="164"/>
      <c r="G95" s="164"/>
      <c r="H95" s="164"/>
      <c r="I95" s="164"/>
      <c r="J95" s="164"/>
      <c r="K95" s="164"/>
      <c r="L95" s="164"/>
      <c r="M95" s="164"/>
      <c r="N95" s="164"/>
      <c r="O95" s="164"/>
      <c r="P95" s="164"/>
      <c r="Q95" s="164"/>
      <c r="AK95" s="164"/>
      <c r="AL95" s="164"/>
      <c r="AM95" s="164"/>
      <c r="AN95" s="164"/>
      <c r="AO95" s="164"/>
      <c r="AP95" s="164"/>
      <c r="AQ95" s="164"/>
      <c r="AR95" s="164"/>
      <c r="AS95" s="164"/>
      <c r="AT95" s="164"/>
      <c r="AU95" s="164"/>
      <c r="AV95" s="164"/>
      <c r="AW95" s="164"/>
      <c r="AX95" s="164"/>
      <c r="AY95" s="164"/>
      <c r="AZ95" s="164"/>
      <c r="BA95" s="164"/>
      <c r="BB95" s="164"/>
      <c r="BC95" s="164"/>
      <c r="BD95" s="164"/>
      <c r="BE95" s="164"/>
      <c r="BF95" s="164"/>
      <c r="BG95" s="164"/>
      <c r="BH95" s="164"/>
      <c r="BI95" s="164"/>
      <c r="BJ95" s="164"/>
    </row>
    <row r="96" spans="1:62" ht="18.75" hidden="1" outlineLevel="1" x14ac:dyDescent="0.3">
      <c r="A96" s="164"/>
      <c r="B96" s="253"/>
      <c r="C96" s="308" t="s">
        <v>293</v>
      </c>
      <c r="D96" s="253"/>
      <c r="E96" s="253"/>
      <c r="F96" s="253"/>
      <c r="G96" s="253"/>
      <c r="H96" s="253"/>
      <c r="I96" s="254" t="s">
        <v>53</v>
      </c>
      <c r="J96" s="255" t="e">
        <f>'Monthly Cost Compare'!T18</f>
        <v>#REF!</v>
      </c>
      <c r="K96" s="253"/>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c r="BC96" s="253"/>
      <c r="BD96" s="164"/>
      <c r="BE96" s="164"/>
      <c r="BF96" s="164"/>
      <c r="BG96" s="164"/>
      <c r="BH96" s="164"/>
      <c r="BI96" s="164"/>
      <c r="BJ96" s="164"/>
    </row>
    <row r="97" spans="1:62" hidden="1" outlineLevel="1" x14ac:dyDescent="0.25">
      <c r="A97" s="164"/>
      <c r="B97" s="253"/>
      <c r="C97" s="253"/>
      <c r="D97" s="253"/>
      <c r="E97" s="253"/>
      <c r="F97" s="253"/>
      <c r="G97" s="253"/>
      <c r="H97" s="253"/>
      <c r="I97" s="254" t="s">
        <v>54</v>
      </c>
      <c r="J97" s="255" t="e">
        <f>'Monthly Cost Compare'!T42</f>
        <v>#REF!</v>
      </c>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253"/>
      <c r="AP97" s="253"/>
      <c r="AQ97" s="253"/>
      <c r="AR97" s="253"/>
      <c r="AS97" s="253"/>
      <c r="AT97" s="253"/>
      <c r="AU97" s="253"/>
      <c r="AV97" s="253"/>
      <c r="AW97" s="253"/>
      <c r="AX97" s="253"/>
      <c r="AY97" s="253"/>
      <c r="AZ97" s="253"/>
      <c r="BA97" s="253"/>
      <c r="BB97" s="253"/>
      <c r="BC97" s="253"/>
      <c r="BD97" s="164"/>
      <c r="BE97" s="164"/>
      <c r="BF97" s="164"/>
      <c r="BG97" s="164"/>
      <c r="BH97" s="164"/>
      <c r="BI97" s="164"/>
      <c r="BJ97" s="164"/>
    </row>
    <row r="98" spans="1:62" ht="15.75" hidden="1" outlineLevel="1" thickBot="1" x14ac:dyDescent="0.3">
      <c r="A98" s="164"/>
      <c r="B98" s="253"/>
      <c r="C98" s="253"/>
      <c r="D98" s="254"/>
      <c r="E98" s="253"/>
      <c r="F98" s="253"/>
      <c r="G98" s="256"/>
      <c r="H98" s="256"/>
      <c r="I98" s="257" t="s">
        <v>55</v>
      </c>
      <c r="J98" s="258" t="e">
        <f>'Monthly Cost Compare'!T65</f>
        <v>#REF!</v>
      </c>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3"/>
      <c r="AZ98" s="253"/>
      <c r="BA98" s="253"/>
      <c r="BB98" s="253"/>
      <c r="BC98" s="253"/>
      <c r="BD98" s="164"/>
      <c r="BE98" s="164"/>
      <c r="BF98" s="164"/>
      <c r="BG98" s="164"/>
      <c r="BH98" s="164"/>
      <c r="BI98" s="164"/>
      <c r="BJ98" s="164"/>
    </row>
    <row r="99" spans="1:62" ht="15.75" hidden="1" outlineLevel="1" thickTop="1" x14ac:dyDescent="0.25">
      <c r="A99" s="164"/>
      <c r="B99" s="253"/>
      <c r="C99" s="253"/>
      <c r="D99" s="254"/>
      <c r="E99" s="253"/>
      <c r="F99" s="253"/>
      <c r="G99" s="253"/>
      <c r="H99" s="253"/>
      <c r="I99" s="254" t="s">
        <v>56</v>
      </c>
      <c r="J99" s="255" t="e">
        <f>AVERAGE(J96:J98)</f>
        <v>#REF!</v>
      </c>
      <c r="K99" s="253"/>
      <c r="L99" s="253"/>
      <c r="M99" s="253"/>
      <c r="N99" s="253"/>
      <c r="O99" s="253"/>
      <c r="P99" s="253"/>
      <c r="Q99" s="253"/>
      <c r="R99" s="253"/>
      <c r="S99" s="253"/>
      <c r="T99" s="253"/>
      <c r="U99" s="253"/>
      <c r="V99" s="253"/>
      <c r="W99" s="253"/>
      <c r="X99" s="253"/>
      <c r="Y99" s="253"/>
      <c r="Z99" s="253"/>
      <c r="AA99" s="253"/>
      <c r="AB99" s="253"/>
      <c r="AC99" s="253"/>
      <c r="AD99" s="253"/>
      <c r="AE99" s="253"/>
      <c r="AF99" s="253"/>
      <c r="AG99" s="253"/>
      <c r="AH99" s="253"/>
      <c r="AI99" s="253"/>
      <c r="AJ99" s="253"/>
      <c r="AK99" s="253"/>
      <c r="AL99" s="253"/>
      <c r="AM99" s="253"/>
      <c r="AN99" s="253"/>
      <c r="AO99" s="253"/>
      <c r="AP99" s="253"/>
      <c r="AQ99" s="253"/>
      <c r="AR99" s="253"/>
      <c r="AS99" s="253"/>
      <c r="AT99" s="253"/>
      <c r="AU99" s="253"/>
      <c r="AV99" s="253"/>
      <c r="AW99" s="253"/>
      <c r="AX99" s="253"/>
      <c r="AY99" s="253"/>
      <c r="AZ99" s="253"/>
      <c r="BA99" s="253"/>
      <c r="BB99" s="253"/>
      <c r="BC99" s="253"/>
      <c r="BD99" s="164"/>
      <c r="BE99" s="164"/>
      <c r="BF99" s="164"/>
      <c r="BG99" s="164"/>
      <c r="BH99" s="164"/>
      <c r="BI99" s="164"/>
      <c r="BJ99" s="164"/>
    </row>
    <row r="100" spans="1:62" hidden="1" outlineLevel="1" x14ac:dyDescent="0.25">
      <c r="A100" s="164"/>
      <c r="B100" s="253"/>
      <c r="C100" s="253"/>
      <c r="D100" s="254"/>
      <c r="E100" s="253"/>
      <c r="F100" s="253"/>
      <c r="G100" s="253"/>
      <c r="H100" s="253"/>
      <c r="I100" s="254" t="s">
        <v>57</v>
      </c>
      <c r="J100" s="259" t="e">
        <f>J83/J99</f>
        <v>#REF!</v>
      </c>
      <c r="K100" s="253"/>
      <c r="L100" s="253"/>
      <c r="M100" s="253"/>
      <c r="N100" s="253"/>
      <c r="O100" s="253"/>
      <c r="P100" s="253"/>
      <c r="Q100" s="253"/>
      <c r="R100" s="253"/>
      <c r="S100" s="253"/>
      <c r="T100" s="253"/>
      <c r="U100" s="253"/>
      <c r="V100" s="253"/>
      <c r="W100" s="253"/>
      <c r="X100" s="253"/>
      <c r="Y100" s="253"/>
      <c r="Z100" s="253"/>
      <c r="AA100" s="253"/>
      <c r="AB100" s="253"/>
      <c r="AC100" s="253"/>
      <c r="AD100" s="253"/>
      <c r="AE100" s="253"/>
      <c r="AF100" s="253"/>
      <c r="AG100" s="253"/>
      <c r="AH100" s="253"/>
      <c r="AI100" s="253"/>
      <c r="AJ100" s="253"/>
      <c r="AK100" s="253"/>
      <c r="AL100" s="253"/>
      <c r="AM100" s="253"/>
      <c r="AN100" s="253"/>
      <c r="AO100" s="253"/>
      <c r="AP100" s="253"/>
      <c r="AQ100" s="253"/>
      <c r="AR100" s="253"/>
      <c r="AS100" s="253"/>
      <c r="AT100" s="253"/>
      <c r="AU100" s="253"/>
      <c r="AV100" s="253"/>
      <c r="AW100" s="253"/>
      <c r="AX100" s="253"/>
      <c r="AY100" s="253"/>
      <c r="AZ100" s="253"/>
      <c r="BA100" s="253"/>
      <c r="BB100" s="253"/>
      <c r="BC100" s="253"/>
      <c r="BD100" s="164"/>
      <c r="BE100" s="164"/>
      <c r="BF100" s="164"/>
      <c r="BG100" s="164"/>
      <c r="BH100" s="164"/>
      <c r="BI100" s="164"/>
      <c r="BJ100" s="164"/>
    </row>
    <row r="101" spans="1:62" hidden="1" outlineLevel="1" x14ac:dyDescent="0.25">
      <c r="A101" s="164"/>
      <c r="B101" s="253"/>
      <c r="C101" s="253"/>
      <c r="D101" s="254"/>
      <c r="E101" s="253"/>
      <c r="F101" s="253"/>
      <c r="G101" s="253"/>
      <c r="H101" s="253"/>
      <c r="I101" s="253"/>
      <c r="J101" s="253"/>
      <c r="K101" s="253"/>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c r="AX101" s="253"/>
      <c r="AY101" s="253"/>
      <c r="AZ101" s="253"/>
      <c r="BA101" s="253"/>
      <c r="BB101" s="253"/>
      <c r="BC101" s="253"/>
      <c r="BD101" s="164"/>
      <c r="BE101" s="164"/>
      <c r="BF101" s="164"/>
      <c r="BG101" s="164"/>
      <c r="BH101" s="164"/>
      <c r="BI101" s="164"/>
      <c r="BJ101" s="164"/>
    </row>
    <row r="102" spans="1:62" hidden="1" outlineLevel="1" x14ac:dyDescent="0.25">
      <c r="A102" s="164"/>
      <c r="B102" s="253"/>
      <c r="C102" s="253"/>
      <c r="D102" s="254"/>
      <c r="E102" s="260"/>
      <c r="F102" s="260"/>
      <c r="G102" s="260"/>
      <c r="H102" s="260"/>
      <c r="I102" s="261" t="s">
        <v>58</v>
      </c>
      <c r="J102" s="260">
        <f>'Tap Fee Cost Compare'!C10</f>
        <v>32244</v>
      </c>
      <c r="K102" s="260"/>
      <c r="L102" s="260"/>
      <c r="M102" s="260"/>
      <c r="N102" s="260"/>
      <c r="O102" s="260"/>
      <c r="P102" s="260"/>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253"/>
      <c r="AM102" s="253"/>
      <c r="AN102" s="253"/>
      <c r="AO102" s="253"/>
      <c r="AP102" s="253"/>
      <c r="AQ102" s="253"/>
      <c r="AR102" s="253"/>
      <c r="AS102" s="253"/>
      <c r="AT102" s="253"/>
      <c r="AU102" s="253"/>
      <c r="AV102" s="253"/>
      <c r="AW102" s="253"/>
      <c r="AX102" s="253"/>
      <c r="AY102" s="253"/>
      <c r="AZ102" s="253"/>
      <c r="BA102" s="253"/>
      <c r="BB102" s="253"/>
      <c r="BC102" s="253"/>
      <c r="BD102" s="164"/>
      <c r="BE102" s="164"/>
      <c r="BF102" s="164"/>
      <c r="BG102" s="164"/>
      <c r="BH102" s="164"/>
      <c r="BI102" s="164"/>
      <c r="BJ102" s="164"/>
    </row>
    <row r="103" spans="1:62" hidden="1" outlineLevel="1" x14ac:dyDescent="0.25">
      <c r="A103" s="164"/>
      <c r="B103" s="253"/>
      <c r="C103" s="253"/>
      <c r="D103" s="254"/>
      <c r="E103" s="260"/>
      <c r="F103" s="260"/>
      <c r="G103" s="260"/>
      <c r="H103" s="260"/>
      <c r="I103" s="261" t="s">
        <v>59</v>
      </c>
      <c r="J103" s="260">
        <f>'Tap Fee Cost Compare'!C22</f>
        <v>31150</v>
      </c>
      <c r="K103" s="260"/>
      <c r="L103" s="260"/>
      <c r="M103" s="260"/>
      <c r="N103" s="260"/>
      <c r="O103" s="260"/>
      <c r="P103" s="260"/>
      <c r="Q103" s="253"/>
      <c r="R103" s="253"/>
      <c r="S103" s="253"/>
      <c r="T103" s="253"/>
      <c r="U103" s="253"/>
      <c r="V103" s="253"/>
      <c r="W103" s="253"/>
      <c r="X103" s="253"/>
      <c r="Y103" s="253"/>
      <c r="Z103" s="253"/>
      <c r="AA103" s="253"/>
      <c r="AB103" s="253"/>
      <c r="AC103" s="253"/>
      <c r="AD103" s="253"/>
      <c r="AE103" s="253"/>
      <c r="AF103" s="253"/>
      <c r="AG103" s="253"/>
      <c r="AH103" s="253"/>
      <c r="AI103" s="253"/>
      <c r="AJ103" s="253"/>
      <c r="AK103" s="253"/>
      <c r="AL103" s="253"/>
      <c r="AM103" s="253"/>
      <c r="AN103" s="253"/>
      <c r="AO103" s="253"/>
      <c r="AP103" s="253"/>
      <c r="AQ103" s="253"/>
      <c r="AR103" s="253"/>
      <c r="AS103" s="253"/>
      <c r="AT103" s="253"/>
      <c r="AU103" s="253"/>
      <c r="AV103" s="253"/>
      <c r="AW103" s="253"/>
      <c r="AX103" s="253"/>
      <c r="AY103" s="253"/>
      <c r="AZ103" s="253"/>
      <c r="BA103" s="253"/>
      <c r="BB103" s="253"/>
      <c r="BC103" s="253"/>
      <c r="BD103" s="164"/>
      <c r="BE103" s="164"/>
      <c r="BF103" s="164"/>
      <c r="BG103" s="164"/>
      <c r="BH103" s="164"/>
      <c r="BI103" s="164"/>
      <c r="BJ103" s="164"/>
    </row>
    <row r="104" spans="1:62" ht="15.75" hidden="1" outlineLevel="1" thickBot="1" x14ac:dyDescent="0.3">
      <c r="A104" s="164"/>
      <c r="B104" s="253"/>
      <c r="C104" s="253"/>
      <c r="D104" s="254"/>
      <c r="E104" s="260"/>
      <c r="F104" s="260"/>
      <c r="G104" s="262"/>
      <c r="H104" s="262"/>
      <c r="I104" s="263" t="s">
        <v>60</v>
      </c>
      <c r="J104" s="262">
        <f>'Tap Fee Cost Compare'!C33</f>
        <v>21999</v>
      </c>
      <c r="K104" s="260"/>
      <c r="L104" s="260"/>
      <c r="M104" s="260"/>
      <c r="N104" s="260"/>
      <c r="O104" s="260"/>
      <c r="P104" s="260"/>
      <c r="Q104" s="260"/>
      <c r="R104" s="253"/>
      <c r="S104" s="253"/>
      <c r="T104" s="253"/>
      <c r="U104" s="253"/>
      <c r="V104" s="253"/>
      <c r="W104" s="253"/>
      <c r="X104" s="253"/>
      <c r="Y104" s="253"/>
      <c r="Z104" s="253"/>
      <c r="AA104" s="253"/>
      <c r="AB104" s="253"/>
      <c r="AC104" s="253"/>
      <c r="AD104" s="253"/>
      <c r="AE104" s="253"/>
      <c r="AF104" s="253"/>
      <c r="AG104" s="253"/>
      <c r="AH104" s="253"/>
      <c r="AI104" s="253"/>
      <c r="AJ104" s="253"/>
      <c r="AK104" s="253"/>
      <c r="AL104" s="253"/>
      <c r="AM104" s="253"/>
      <c r="AN104" s="253"/>
      <c r="AO104" s="253"/>
      <c r="AP104" s="253"/>
      <c r="AQ104" s="253"/>
      <c r="AR104" s="253"/>
      <c r="AS104" s="253"/>
      <c r="AT104" s="253"/>
      <c r="AU104" s="253"/>
      <c r="AV104" s="253"/>
      <c r="AW104" s="253"/>
      <c r="AX104" s="253"/>
      <c r="AY104" s="253"/>
      <c r="AZ104" s="253"/>
      <c r="BA104" s="253"/>
      <c r="BB104" s="253"/>
      <c r="BC104" s="253"/>
      <c r="BD104" s="164"/>
      <c r="BE104" s="164"/>
      <c r="BF104" s="164"/>
      <c r="BG104" s="164"/>
      <c r="BH104" s="164"/>
      <c r="BI104" s="164"/>
      <c r="BJ104" s="164"/>
    </row>
    <row r="105" spans="1:62" ht="15.75" hidden="1" outlineLevel="1" thickTop="1" x14ac:dyDescent="0.25">
      <c r="A105" s="164"/>
      <c r="B105" s="253"/>
      <c r="C105" s="253"/>
      <c r="D105" s="264"/>
      <c r="E105" s="253"/>
      <c r="F105" s="253"/>
      <c r="G105" s="253"/>
      <c r="H105" s="253"/>
      <c r="I105" s="253"/>
      <c r="J105" s="255">
        <f>AVERAGE(J102:J104)</f>
        <v>28464.333333333332</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53"/>
      <c r="AP105" s="253"/>
      <c r="AQ105" s="253"/>
      <c r="AR105" s="253"/>
      <c r="AS105" s="253"/>
      <c r="AT105" s="253"/>
      <c r="AU105" s="253"/>
      <c r="AV105" s="253"/>
      <c r="AW105" s="253"/>
      <c r="AX105" s="253"/>
      <c r="AY105" s="253"/>
      <c r="AZ105" s="253"/>
      <c r="BA105" s="253"/>
      <c r="BB105" s="253"/>
      <c r="BC105" s="253"/>
      <c r="BD105" s="164"/>
      <c r="BE105" s="164"/>
      <c r="BF105" s="164"/>
      <c r="BG105" s="164"/>
      <c r="BH105" s="164"/>
      <c r="BI105" s="164"/>
      <c r="BJ105" s="164"/>
    </row>
    <row r="106" spans="1:62" hidden="1" outlineLevel="1" x14ac:dyDescent="0.25">
      <c r="A106" s="164"/>
      <c r="B106" s="253"/>
      <c r="C106" s="253"/>
      <c r="D106" s="253"/>
      <c r="E106" s="253"/>
      <c r="F106" s="253"/>
      <c r="G106" s="253"/>
      <c r="H106" s="253"/>
      <c r="I106" s="254" t="s">
        <v>57</v>
      </c>
      <c r="J106" s="259">
        <f>(L47+I52)/J105</f>
        <v>1.1199731828135797</v>
      </c>
      <c r="K106" s="253"/>
      <c r="L106" s="253"/>
      <c r="M106" s="253"/>
      <c r="N106" s="253"/>
      <c r="O106" s="253"/>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c r="AO106" s="253"/>
      <c r="AP106" s="253"/>
      <c r="AQ106" s="253"/>
      <c r="AR106" s="253"/>
      <c r="AS106" s="253"/>
      <c r="AT106" s="253"/>
      <c r="AU106" s="253"/>
      <c r="AV106" s="253"/>
      <c r="AW106" s="253"/>
      <c r="AX106" s="253"/>
      <c r="AY106" s="253"/>
      <c r="AZ106" s="253"/>
      <c r="BA106" s="253"/>
      <c r="BB106" s="253"/>
      <c r="BC106" s="253"/>
      <c r="BD106" s="164"/>
      <c r="BE106" s="164"/>
      <c r="BF106" s="164"/>
      <c r="BG106" s="164"/>
      <c r="BH106" s="164"/>
      <c r="BI106" s="164"/>
      <c r="BJ106" s="164"/>
    </row>
    <row r="107" spans="1:62" hidden="1" outlineLevel="1" x14ac:dyDescent="0.25">
      <c r="A107" s="164"/>
      <c r="B107" s="253"/>
      <c r="C107" s="253"/>
      <c r="D107" s="253"/>
      <c r="E107" s="253"/>
      <c r="F107" s="253"/>
      <c r="G107" s="253"/>
      <c r="H107" s="253"/>
      <c r="I107" s="253"/>
      <c r="J107" s="253"/>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53"/>
      <c r="AP107" s="253"/>
      <c r="AQ107" s="253"/>
      <c r="AR107" s="253"/>
      <c r="AS107" s="253"/>
      <c r="AT107" s="253"/>
      <c r="AU107" s="253"/>
      <c r="AV107" s="253"/>
      <c r="AW107" s="253"/>
      <c r="AX107" s="253"/>
      <c r="AY107" s="253"/>
      <c r="AZ107" s="253"/>
      <c r="BA107" s="253"/>
      <c r="BB107" s="253"/>
      <c r="BC107" s="253"/>
      <c r="BD107" s="164"/>
      <c r="BE107" s="164"/>
      <c r="BF107" s="164"/>
      <c r="BG107" s="164"/>
      <c r="BH107" s="164"/>
      <c r="BI107" s="164"/>
      <c r="BJ107" s="164"/>
    </row>
    <row r="108" spans="1:62" hidden="1" outlineLevel="1" x14ac:dyDescent="0.25">
      <c r="A108" s="164"/>
      <c r="B108" s="253"/>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53"/>
      <c r="AY108" s="253"/>
      <c r="AZ108" s="253"/>
      <c r="BA108" s="253"/>
      <c r="BB108" s="253"/>
      <c r="BC108" s="253"/>
      <c r="BD108" s="164"/>
      <c r="BE108" s="164"/>
      <c r="BF108" s="164"/>
      <c r="BG108" s="164"/>
      <c r="BH108" s="164"/>
      <c r="BI108" s="164"/>
      <c r="BJ108" s="164"/>
    </row>
    <row r="109" spans="1:62" hidden="1" outlineLevel="1" x14ac:dyDescent="0.25">
      <c r="A109" s="164"/>
      <c r="B109" s="253"/>
      <c r="C109" s="253"/>
      <c r="D109" s="253"/>
      <c r="E109" s="253"/>
      <c r="F109" s="253"/>
      <c r="G109" s="253"/>
      <c r="H109" s="253"/>
      <c r="I109" s="253"/>
      <c r="J109" s="253"/>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53"/>
      <c r="AP109" s="253"/>
      <c r="AQ109" s="253"/>
      <c r="AR109" s="253"/>
      <c r="AS109" s="253"/>
      <c r="AT109" s="253"/>
      <c r="AU109" s="253"/>
      <c r="AV109" s="253"/>
      <c r="AW109" s="253"/>
      <c r="AX109" s="253"/>
      <c r="AY109" s="253"/>
      <c r="AZ109" s="253"/>
      <c r="BA109" s="253"/>
      <c r="BB109" s="253"/>
      <c r="BC109" s="253"/>
      <c r="BD109" s="164"/>
      <c r="BE109" s="164"/>
      <c r="BF109" s="164"/>
      <c r="BG109" s="164"/>
      <c r="BH109" s="164"/>
      <c r="BI109" s="164"/>
      <c r="BJ109" s="164"/>
    </row>
    <row r="110" spans="1:62" hidden="1" outlineLevel="1" x14ac:dyDescent="0.25">
      <c r="A110" s="164"/>
      <c r="B110" s="25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253"/>
      <c r="AN110" s="253"/>
      <c r="AO110" s="253"/>
      <c r="AP110" s="253"/>
      <c r="AQ110" s="253"/>
      <c r="AR110" s="253"/>
      <c r="AS110" s="253"/>
      <c r="AT110" s="253"/>
      <c r="AU110" s="253"/>
      <c r="AV110" s="253"/>
      <c r="AW110" s="253"/>
      <c r="AX110" s="253"/>
      <c r="AY110" s="253"/>
      <c r="AZ110" s="253"/>
      <c r="BA110" s="253"/>
      <c r="BB110" s="253"/>
      <c r="BC110" s="253"/>
      <c r="BD110" s="164"/>
      <c r="BE110" s="164"/>
      <c r="BF110" s="164"/>
      <c r="BG110" s="164"/>
      <c r="BH110" s="164"/>
      <c r="BI110" s="164"/>
      <c r="BJ110" s="164"/>
    </row>
    <row r="111" spans="1:62" hidden="1" outlineLevel="1" x14ac:dyDescent="0.25">
      <c r="A111" s="164"/>
      <c r="B111" s="253"/>
      <c r="C111" s="253"/>
      <c r="D111" s="253"/>
      <c r="E111" s="253"/>
      <c r="F111" s="253"/>
      <c r="G111" s="253"/>
      <c r="H111" s="253"/>
      <c r="I111" s="253"/>
      <c r="J111" s="253"/>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c r="AO111" s="253"/>
      <c r="AP111" s="253"/>
      <c r="AQ111" s="253"/>
      <c r="AR111" s="253"/>
      <c r="AS111" s="253"/>
      <c r="AT111" s="253"/>
      <c r="AU111" s="253"/>
      <c r="AV111" s="253"/>
      <c r="AW111" s="253"/>
      <c r="AX111" s="253"/>
      <c r="AY111" s="253"/>
      <c r="AZ111" s="253"/>
      <c r="BA111" s="253"/>
      <c r="BB111" s="253"/>
      <c r="BC111" s="253"/>
      <c r="BD111" s="164"/>
      <c r="BE111" s="164"/>
      <c r="BF111" s="164"/>
      <c r="BG111" s="164"/>
      <c r="BH111" s="164"/>
      <c r="BI111" s="164"/>
      <c r="BJ111" s="164"/>
    </row>
    <row r="112" spans="1:62" hidden="1" outlineLevel="1" x14ac:dyDescent="0.25">
      <c r="A112" s="164"/>
      <c r="B112" s="253"/>
      <c r="C112" s="253"/>
      <c r="D112" s="253"/>
      <c r="E112" s="253"/>
      <c r="F112" s="253"/>
      <c r="G112" s="253"/>
      <c r="H112" s="253"/>
      <c r="I112" s="253"/>
      <c r="J112" s="253"/>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c r="AN112" s="253"/>
      <c r="AO112" s="253"/>
      <c r="AP112" s="253"/>
      <c r="AQ112" s="253"/>
      <c r="AR112" s="253"/>
      <c r="AS112" s="253"/>
      <c r="AT112" s="253"/>
      <c r="AU112" s="253"/>
      <c r="AV112" s="253"/>
      <c r="AW112" s="253"/>
      <c r="AX112" s="253"/>
      <c r="AY112" s="253"/>
      <c r="AZ112" s="253"/>
      <c r="BA112" s="253"/>
      <c r="BB112" s="253"/>
      <c r="BC112" s="253"/>
      <c r="BD112" s="164"/>
      <c r="BE112" s="164"/>
      <c r="BF112" s="164"/>
      <c r="BG112" s="164"/>
      <c r="BH112" s="164"/>
      <c r="BI112" s="164"/>
      <c r="BJ112" s="164"/>
    </row>
    <row r="113" spans="1:62" hidden="1" outlineLevel="1" x14ac:dyDescent="0.25">
      <c r="A113" s="164"/>
      <c r="B113" s="25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3"/>
      <c r="BB113" s="253"/>
      <c r="BC113" s="253"/>
      <c r="BD113" s="164"/>
      <c r="BE113" s="164"/>
      <c r="BF113" s="164"/>
      <c r="BG113" s="164"/>
      <c r="BH113" s="164"/>
      <c r="BI113" s="164"/>
      <c r="BJ113" s="164"/>
    </row>
    <row r="114" spans="1:62" hidden="1" outlineLevel="1" x14ac:dyDescent="0.25">
      <c r="A114" s="164"/>
      <c r="B114" s="253"/>
      <c r="C114" s="253"/>
      <c r="D114" s="253"/>
      <c r="E114" s="253"/>
      <c r="F114" s="253"/>
      <c r="G114" s="253"/>
      <c r="H114" s="253"/>
      <c r="I114" s="253"/>
      <c r="J114" s="253"/>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53"/>
      <c r="AP114" s="253"/>
      <c r="AQ114" s="253"/>
      <c r="AR114" s="253"/>
      <c r="AS114" s="253"/>
      <c r="AT114" s="253"/>
      <c r="AU114" s="253"/>
      <c r="AV114" s="253"/>
      <c r="AW114" s="253"/>
      <c r="AX114" s="253"/>
      <c r="AY114" s="253"/>
      <c r="AZ114" s="253"/>
      <c r="BA114" s="253"/>
      <c r="BB114" s="253"/>
      <c r="BC114" s="253"/>
      <c r="BD114" s="164"/>
      <c r="BE114" s="164"/>
      <c r="BF114" s="164"/>
      <c r="BG114" s="164"/>
      <c r="BH114" s="164"/>
      <c r="BI114" s="164"/>
      <c r="BJ114" s="164"/>
    </row>
    <row r="115" spans="1:62" hidden="1" outlineLevel="1" x14ac:dyDescent="0.25">
      <c r="A115" s="164"/>
      <c r="B115" s="253"/>
      <c r="C115" s="253"/>
      <c r="D115" s="253"/>
      <c r="E115" s="253"/>
      <c r="F115" s="253"/>
      <c r="G115" s="253"/>
      <c r="H115" s="253"/>
      <c r="I115" s="265" t="s">
        <v>61</v>
      </c>
      <c r="J115" s="265"/>
      <c r="K115" s="253"/>
      <c r="L115" s="253"/>
      <c r="M115" s="253"/>
      <c r="N115" s="253"/>
      <c r="O115" s="253"/>
      <c r="P115" s="253"/>
      <c r="Q115" s="253"/>
      <c r="R115" s="253"/>
      <c r="S115" s="253"/>
      <c r="T115" s="253"/>
      <c r="U115" s="253"/>
      <c r="V115" s="253"/>
      <c r="W115" s="253"/>
      <c r="X115" s="253"/>
      <c r="Y115" s="253"/>
      <c r="Z115" s="253"/>
      <c r="AA115" s="253"/>
      <c r="AB115" s="253"/>
      <c r="AC115" s="253"/>
      <c r="AD115" s="253"/>
      <c r="AE115" s="253"/>
      <c r="AF115" s="253"/>
      <c r="AG115" s="253"/>
      <c r="AH115" s="253"/>
      <c r="AI115" s="253"/>
      <c r="AJ115" s="253"/>
      <c r="AK115" s="253"/>
      <c r="AL115" s="253"/>
      <c r="AM115" s="253"/>
      <c r="AN115" s="253"/>
      <c r="AO115" s="253"/>
      <c r="AP115" s="253"/>
      <c r="AQ115" s="253"/>
      <c r="AR115" s="253"/>
      <c r="AS115" s="253"/>
      <c r="AT115" s="253"/>
      <c r="AU115" s="253"/>
      <c r="AV115" s="253"/>
      <c r="AW115" s="253"/>
      <c r="AX115" s="253"/>
      <c r="AY115" s="253"/>
      <c r="AZ115" s="253"/>
      <c r="BA115" s="253"/>
      <c r="BB115" s="253"/>
      <c r="BC115" s="253"/>
      <c r="BD115" s="164"/>
      <c r="BE115" s="164"/>
      <c r="BF115" s="164"/>
      <c r="BG115" s="164"/>
      <c r="BH115" s="164"/>
      <c r="BI115" s="164"/>
      <c r="BJ115" s="164"/>
    </row>
    <row r="116" spans="1:62" ht="15.75" hidden="1" outlineLevel="1" thickBot="1" x14ac:dyDescent="0.3">
      <c r="A116" s="164"/>
      <c r="B116" s="253"/>
      <c r="C116" s="265" t="s">
        <v>62</v>
      </c>
      <c r="D116" s="265"/>
      <c r="E116" s="265"/>
      <c r="F116" s="265"/>
      <c r="G116" s="265"/>
      <c r="H116" s="253"/>
      <c r="I116" s="265" t="s">
        <v>63</v>
      </c>
      <c r="J116" s="265"/>
      <c r="K116" s="253"/>
      <c r="L116" s="265" t="s">
        <v>64</v>
      </c>
      <c r="M116" s="265"/>
      <c r="N116" s="253"/>
      <c r="O116" s="265" t="s">
        <v>65</v>
      </c>
      <c r="P116" s="265"/>
      <c r="Q116" s="265"/>
      <c r="R116" s="265"/>
      <c r="S116" s="265"/>
      <c r="T116" s="253"/>
      <c r="U116" s="265" t="s">
        <v>66</v>
      </c>
      <c r="V116" s="265"/>
      <c r="W116" s="265"/>
      <c r="X116" s="253"/>
      <c r="Y116" s="265" t="s">
        <v>67</v>
      </c>
      <c r="Z116" s="265"/>
      <c r="AA116" s="253"/>
      <c r="AB116" s="265" t="s">
        <v>68</v>
      </c>
      <c r="AC116" s="265"/>
      <c r="AD116" s="253"/>
      <c r="AE116" s="253" t="s">
        <v>69</v>
      </c>
      <c r="AF116" s="253"/>
      <c r="AG116" s="253"/>
      <c r="AH116" s="265" t="s">
        <v>70</v>
      </c>
      <c r="AI116" s="265"/>
      <c r="AJ116" s="265"/>
      <c r="AK116" s="253"/>
      <c r="AL116" s="253"/>
      <c r="AM116" s="253"/>
      <c r="AN116" s="253"/>
      <c r="AO116" s="253"/>
      <c r="AP116" s="253"/>
      <c r="AQ116" s="253"/>
      <c r="AR116" s="253"/>
      <c r="AS116" s="253"/>
      <c r="AT116" s="253"/>
      <c r="AU116" s="253"/>
      <c r="AV116" s="253"/>
      <c r="AW116" s="253"/>
      <c r="AX116" s="253"/>
      <c r="AY116" s="253"/>
      <c r="AZ116" s="253"/>
      <c r="BA116" s="253"/>
      <c r="BB116" s="253"/>
      <c r="BC116" s="253"/>
      <c r="BD116" s="164"/>
      <c r="BE116" s="164"/>
      <c r="BF116" s="164"/>
      <c r="BG116" s="164"/>
      <c r="BH116" s="164"/>
      <c r="BI116" s="164"/>
      <c r="BJ116" s="164"/>
    </row>
    <row r="117" spans="1:62" hidden="1" outlineLevel="1" x14ac:dyDescent="0.25">
      <c r="A117" s="164"/>
      <c r="B117" s="253"/>
      <c r="C117" s="266"/>
      <c r="D117" s="267"/>
      <c r="E117" s="268" t="s">
        <v>71</v>
      </c>
      <c r="F117" s="268" t="s">
        <v>72</v>
      </c>
      <c r="G117" s="269" t="s">
        <v>72</v>
      </c>
      <c r="H117" s="270"/>
      <c r="I117" s="271" t="s">
        <v>73</v>
      </c>
      <c r="J117" s="269" t="s">
        <v>73</v>
      </c>
      <c r="K117" s="253"/>
      <c r="L117" s="271"/>
      <c r="M117" s="272"/>
      <c r="N117" s="253"/>
      <c r="O117" s="266"/>
      <c r="P117" s="267"/>
      <c r="Q117" s="267"/>
      <c r="R117" s="267"/>
      <c r="S117" s="272"/>
      <c r="T117" s="253"/>
      <c r="U117" s="266"/>
      <c r="V117" s="267"/>
      <c r="W117" s="272"/>
      <c r="X117" s="253"/>
      <c r="Y117" s="266"/>
      <c r="Z117" s="272"/>
      <c r="AA117" s="253"/>
      <c r="AB117" s="271" t="s">
        <v>74</v>
      </c>
      <c r="AC117" s="269" t="s">
        <v>75</v>
      </c>
      <c r="AD117" s="253"/>
      <c r="AE117" s="271" t="s">
        <v>76</v>
      </c>
      <c r="AF117" s="269" t="s">
        <v>77</v>
      </c>
      <c r="AG117" s="253"/>
      <c r="AH117" s="271" t="s">
        <v>78</v>
      </c>
      <c r="AI117" s="268" t="s">
        <v>79</v>
      </c>
      <c r="AJ117" s="269" t="s">
        <v>80</v>
      </c>
      <c r="AK117" s="253"/>
      <c r="AL117" s="253"/>
      <c r="AM117" s="253"/>
      <c r="AN117" s="270" t="s">
        <v>29</v>
      </c>
      <c r="AO117" s="270" t="s">
        <v>30</v>
      </c>
      <c r="AP117" s="270" t="s">
        <v>31</v>
      </c>
      <c r="AQ117" s="270" t="s">
        <v>32</v>
      </c>
      <c r="AR117" s="270" t="s">
        <v>33</v>
      </c>
      <c r="AS117" s="270" t="s">
        <v>34</v>
      </c>
      <c r="AT117" s="270" t="s">
        <v>35</v>
      </c>
      <c r="AU117" s="270" t="s">
        <v>36</v>
      </c>
      <c r="AV117" s="270" t="s">
        <v>37</v>
      </c>
      <c r="AW117" s="270" t="s">
        <v>38</v>
      </c>
      <c r="AX117" s="270" t="s">
        <v>39</v>
      </c>
      <c r="AY117" s="270" t="s">
        <v>40</v>
      </c>
      <c r="AZ117" s="253"/>
      <c r="BA117" s="253"/>
      <c r="BB117" s="253"/>
      <c r="BC117" s="253"/>
      <c r="BD117" s="164"/>
      <c r="BE117" s="164"/>
      <c r="BF117" s="164"/>
      <c r="BG117" s="164"/>
      <c r="BH117" s="164"/>
      <c r="BI117" s="164"/>
      <c r="BJ117" s="164"/>
    </row>
    <row r="118" spans="1:62" hidden="1" outlineLevel="1" x14ac:dyDescent="0.25">
      <c r="A118" s="164"/>
      <c r="B118" s="253"/>
      <c r="C118" s="273" t="s">
        <v>81</v>
      </c>
      <c r="D118" s="270" t="s">
        <v>82</v>
      </c>
      <c r="E118" s="270" t="s">
        <v>83</v>
      </c>
      <c r="F118" s="270" t="s">
        <v>84</v>
      </c>
      <c r="G118" s="274" t="s">
        <v>84</v>
      </c>
      <c r="H118" s="270"/>
      <c r="I118" s="273" t="s">
        <v>82</v>
      </c>
      <c r="J118" s="274" t="s">
        <v>85</v>
      </c>
      <c r="K118" s="253"/>
      <c r="L118" s="273"/>
      <c r="M118" s="275"/>
      <c r="N118" s="253"/>
      <c r="O118" s="276"/>
      <c r="P118" s="270" t="s">
        <v>86</v>
      </c>
      <c r="Q118" s="270" t="s">
        <v>87</v>
      </c>
      <c r="R118" s="270" t="s">
        <v>88</v>
      </c>
      <c r="S118" s="274" t="s">
        <v>88</v>
      </c>
      <c r="T118" s="253"/>
      <c r="U118" s="276"/>
      <c r="V118" s="253"/>
      <c r="W118" s="274" t="s">
        <v>89</v>
      </c>
      <c r="X118" s="253"/>
      <c r="Y118" s="273" t="s">
        <v>13</v>
      </c>
      <c r="Z118" s="274" t="s">
        <v>13</v>
      </c>
      <c r="AA118" s="253"/>
      <c r="AB118" s="273" t="s">
        <v>77</v>
      </c>
      <c r="AC118" s="274" t="s">
        <v>77</v>
      </c>
      <c r="AD118" s="253"/>
      <c r="AE118" s="273">
        <v>1</v>
      </c>
      <c r="AF118" s="277">
        <v>832</v>
      </c>
      <c r="AG118" s="253"/>
      <c r="AH118" s="278">
        <v>4833</v>
      </c>
      <c r="AI118" s="253">
        <f>J121/366</f>
        <v>176</v>
      </c>
      <c r="AJ118" s="279">
        <f>AH118/AI118</f>
        <v>27.460227272727273</v>
      </c>
      <c r="AK118" s="253"/>
      <c r="AL118" s="253"/>
      <c r="AM118" s="254" t="s">
        <v>90</v>
      </c>
      <c r="AN118" s="280">
        <f>O18/12/1000</f>
        <v>5.0324999999999998</v>
      </c>
      <c r="AO118" s="280">
        <f>AN118</f>
        <v>5.0324999999999998</v>
      </c>
      <c r="AP118" s="280">
        <f t="shared" ref="AP118:AY118" si="1">AO118</f>
        <v>5.0324999999999998</v>
      </c>
      <c r="AQ118" s="280">
        <f t="shared" si="1"/>
        <v>5.0324999999999998</v>
      </c>
      <c r="AR118" s="280">
        <f t="shared" si="1"/>
        <v>5.0324999999999998</v>
      </c>
      <c r="AS118" s="280">
        <f t="shared" si="1"/>
        <v>5.0324999999999998</v>
      </c>
      <c r="AT118" s="280">
        <f t="shared" si="1"/>
        <v>5.0324999999999998</v>
      </c>
      <c r="AU118" s="280">
        <f t="shared" si="1"/>
        <v>5.0324999999999998</v>
      </c>
      <c r="AV118" s="280">
        <f t="shared" si="1"/>
        <v>5.0324999999999998</v>
      </c>
      <c r="AW118" s="280">
        <f t="shared" si="1"/>
        <v>5.0324999999999998</v>
      </c>
      <c r="AX118" s="280">
        <f t="shared" si="1"/>
        <v>5.0324999999999998</v>
      </c>
      <c r="AY118" s="280">
        <f t="shared" si="1"/>
        <v>5.0324999999999998</v>
      </c>
      <c r="AZ118" s="253"/>
      <c r="BA118" s="253"/>
      <c r="BB118" s="253"/>
      <c r="BC118" s="253"/>
      <c r="BD118" s="164"/>
      <c r="BE118" s="164"/>
      <c r="BF118" s="164"/>
      <c r="BG118" s="164"/>
      <c r="BH118" s="164"/>
      <c r="BI118" s="164"/>
      <c r="BJ118" s="164"/>
    </row>
    <row r="119" spans="1:62" ht="15.75" hidden="1" outlineLevel="1" thickBot="1" x14ac:dyDescent="0.3">
      <c r="A119" s="164"/>
      <c r="B119" s="253"/>
      <c r="C119" s="281" t="s">
        <v>91</v>
      </c>
      <c r="D119" s="282" t="s">
        <v>92</v>
      </c>
      <c r="E119" s="282" t="s">
        <v>93</v>
      </c>
      <c r="F119" s="282" t="s">
        <v>93</v>
      </c>
      <c r="G119" s="283" t="s">
        <v>94</v>
      </c>
      <c r="H119" s="270"/>
      <c r="I119" s="281" t="s">
        <v>92</v>
      </c>
      <c r="J119" s="283" t="s">
        <v>94</v>
      </c>
      <c r="K119" s="253"/>
      <c r="L119" s="281" t="s">
        <v>95</v>
      </c>
      <c r="M119" s="283" t="s">
        <v>91</v>
      </c>
      <c r="N119" s="270"/>
      <c r="O119" s="281" t="s">
        <v>96</v>
      </c>
      <c r="P119" s="282" t="s">
        <v>97</v>
      </c>
      <c r="Q119" s="282" t="s">
        <v>91</v>
      </c>
      <c r="R119" s="282" t="s">
        <v>98</v>
      </c>
      <c r="S119" s="283" t="s">
        <v>99</v>
      </c>
      <c r="T119" s="253"/>
      <c r="U119" s="284" t="s">
        <v>100</v>
      </c>
      <c r="V119" s="270" t="s">
        <v>99</v>
      </c>
      <c r="W119" s="274" t="s">
        <v>101</v>
      </c>
      <c r="X119" s="270"/>
      <c r="Y119" s="281" t="s">
        <v>102</v>
      </c>
      <c r="Z119" s="283" t="s">
        <v>103</v>
      </c>
      <c r="AA119" s="253"/>
      <c r="AB119" s="285" t="s">
        <v>104</v>
      </c>
      <c r="AC119" s="286" t="s">
        <v>105</v>
      </c>
      <c r="AD119" s="253"/>
      <c r="AE119" s="273">
        <v>2</v>
      </c>
      <c r="AF119" s="277">
        <v>2081</v>
      </c>
      <c r="AG119" s="253"/>
      <c r="AH119" s="276"/>
      <c r="AI119" s="253"/>
      <c r="AJ119" s="275"/>
      <c r="AK119" s="253"/>
      <c r="AL119" s="253"/>
      <c r="AM119" s="254" t="s">
        <v>106</v>
      </c>
      <c r="AN119" s="287">
        <v>0</v>
      </c>
      <c r="AO119" s="287">
        <v>0</v>
      </c>
      <c r="AP119" s="287">
        <v>0.01</v>
      </c>
      <c r="AQ119" s="287">
        <v>7.0000000000000007E-2</v>
      </c>
      <c r="AR119" s="287">
        <v>0.14000000000000001</v>
      </c>
      <c r="AS119" s="287">
        <v>0.2</v>
      </c>
      <c r="AT119" s="287">
        <v>0.2</v>
      </c>
      <c r="AU119" s="287">
        <v>0.18</v>
      </c>
      <c r="AV119" s="287">
        <v>0.12</v>
      </c>
      <c r="AW119" s="287">
        <v>7.0000000000000007E-2</v>
      </c>
      <c r="AX119" s="287">
        <v>0.01</v>
      </c>
      <c r="AY119" s="287">
        <v>0</v>
      </c>
      <c r="AZ119" s="253"/>
      <c r="BA119" s="253"/>
      <c r="BB119" s="253"/>
      <c r="BC119" s="253"/>
      <c r="BD119" s="164"/>
      <c r="BE119" s="164"/>
      <c r="BF119" s="164"/>
      <c r="BG119" s="164"/>
      <c r="BH119" s="164"/>
      <c r="BI119" s="164"/>
      <c r="BJ119" s="164"/>
    </row>
    <row r="120" spans="1:62" ht="15.75" hidden="1" outlineLevel="1" thickBot="1" x14ac:dyDescent="0.3">
      <c r="A120" s="164"/>
      <c r="B120" s="253"/>
      <c r="C120" s="273">
        <v>0</v>
      </c>
      <c r="D120" s="270">
        <v>3</v>
      </c>
      <c r="E120" s="270">
        <v>55</v>
      </c>
      <c r="F120" s="253">
        <f>E120*D120</f>
        <v>165</v>
      </c>
      <c r="G120" s="288">
        <f>F120*366</f>
        <v>60390</v>
      </c>
      <c r="H120" s="253"/>
      <c r="I120" s="273">
        <v>2.5</v>
      </c>
      <c r="J120" s="288">
        <f>I120*E120*366</f>
        <v>50325</v>
      </c>
      <c r="K120" s="253"/>
      <c r="L120" s="273">
        <v>2</v>
      </c>
      <c r="M120" s="274">
        <v>903</v>
      </c>
      <c r="N120" s="270"/>
      <c r="O120" s="284" t="s">
        <v>107</v>
      </c>
      <c r="P120" s="289">
        <f>ROUNDUP(2.9*7.48/365*1000,0)</f>
        <v>60</v>
      </c>
      <c r="Q120" s="253" t="e">
        <f>#REF!*O28</f>
        <v>#REF!</v>
      </c>
      <c r="R120" s="290" t="e">
        <f>Q120/1000*P120*366</f>
        <v>#REF!</v>
      </c>
      <c r="S120" s="291" t="e">
        <f>R120/P$125</f>
        <v>#REF!</v>
      </c>
      <c r="T120" s="253"/>
      <c r="U120" s="284" t="s">
        <v>108</v>
      </c>
      <c r="V120" s="292">
        <f>ROUND(INDEX(J120:J122,MATCH(O16,C120:C122,1))/P125,2)</f>
        <v>0.15</v>
      </c>
      <c r="W120" s="275"/>
      <c r="X120" s="253"/>
      <c r="Y120" s="281">
        <v>0.4</v>
      </c>
      <c r="Z120" s="283" t="e">
        <f>ROUNDUP(V123/Y120,2)</f>
        <v>#REF!</v>
      </c>
      <c r="AA120" s="253"/>
      <c r="AB120" s="293">
        <v>49712.5</v>
      </c>
      <c r="AC120" s="294">
        <v>10890.909090909092</v>
      </c>
      <c r="AD120" s="253"/>
      <c r="AE120" s="273">
        <v>3</v>
      </c>
      <c r="AF120" s="277">
        <v>30000</v>
      </c>
      <c r="AG120" s="253"/>
      <c r="AH120" s="276"/>
      <c r="AI120" s="253"/>
      <c r="AJ120" s="275"/>
      <c r="AK120" s="253"/>
      <c r="AL120" s="253"/>
      <c r="AM120" s="254" t="s">
        <v>109</v>
      </c>
      <c r="AN120" s="280" t="e">
        <f t="shared" ref="AN120:AY120" si="2">AN119*$N33/1000</f>
        <v>#REF!</v>
      </c>
      <c r="AO120" s="280" t="e">
        <f t="shared" si="2"/>
        <v>#REF!</v>
      </c>
      <c r="AP120" s="280" t="e">
        <f t="shared" si="2"/>
        <v>#REF!</v>
      </c>
      <c r="AQ120" s="280" t="e">
        <f t="shared" si="2"/>
        <v>#REF!</v>
      </c>
      <c r="AR120" s="280" t="e">
        <f t="shared" si="2"/>
        <v>#REF!</v>
      </c>
      <c r="AS120" s="280" t="e">
        <f t="shared" si="2"/>
        <v>#REF!</v>
      </c>
      <c r="AT120" s="280" t="e">
        <f t="shared" si="2"/>
        <v>#REF!</v>
      </c>
      <c r="AU120" s="280" t="e">
        <f t="shared" si="2"/>
        <v>#REF!</v>
      </c>
      <c r="AV120" s="280" t="e">
        <f t="shared" si="2"/>
        <v>#REF!</v>
      </c>
      <c r="AW120" s="280" t="e">
        <f t="shared" si="2"/>
        <v>#REF!</v>
      </c>
      <c r="AX120" s="280" t="e">
        <f t="shared" si="2"/>
        <v>#REF!</v>
      </c>
      <c r="AY120" s="280" t="e">
        <f t="shared" si="2"/>
        <v>#REF!</v>
      </c>
      <c r="AZ120" s="253"/>
      <c r="BA120" s="253"/>
      <c r="BB120" s="253"/>
      <c r="BC120" s="253"/>
      <c r="BD120" s="164"/>
      <c r="BE120" s="164"/>
      <c r="BF120" s="164"/>
      <c r="BG120" s="164"/>
      <c r="BH120" s="164"/>
      <c r="BI120" s="164"/>
      <c r="BJ120" s="164"/>
    </row>
    <row r="121" spans="1:62" ht="15.75" hidden="1" outlineLevel="1" thickBot="1" x14ac:dyDescent="0.3">
      <c r="A121" s="164"/>
      <c r="B121" s="253"/>
      <c r="C121" s="273">
        <v>2000</v>
      </c>
      <c r="D121" s="270">
        <v>4</v>
      </c>
      <c r="E121" s="270">
        <f>E120</f>
        <v>55</v>
      </c>
      <c r="F121" s="253">
        <f t="shared" ref="F121:F122" si="3">E121*D121</f>
        <v>220</v>
      </c>
      <c r="G121" s="288">
        <f t="shared" ref="G121:G122" si="4">F121*366</f>
        <v>80520</v>
      </c>
      <c r="H121" s="253"/>
      <c r="I121" s="273">
        <v>3.2</v>
      </c>
      <c r="J121" s="288">
        <f>I121*E121*366</f>
        <v>64416</v>
      </c>
      <c r="K121" s="253"/>
      <c r="L121" s="273">
        <v>3</v>
      </c>
      <c r="M121" s="274">
        <v>1331</v>
      </c>
      <c r="N121" s="270"/>
      <c r="O121" s="295" t="s">
        <v>110</v>
      </c>
      <c r="P121" s="296">
        <f>ROUND(0.33*P120,0)</f>
        <v>20</v>
      </c>
      <c r="Q121" s="297" t="e">
        <f>#REF!*O28</f>
        <v>#REF!</v>
      </c>
      <c r="R121" s="298" t="e">
        <f>Q121/1000*P121*366</f>
        <v>#REF!</v>
      </c>
      <c r="S121" s="299" t="e">
        <f>R121/P$125</f>
        <v>#REF!</v>
      </c>
      <c r="T121" s="253"/>
      <c r="U121" s="284" t="s">
        <v>111</v>
      </c>
      <c r="V121" s="292" t="e">
        <f>S122</f>
        <v>#REF!</v>
      </c>
      <c r="W121" s="275"/>
      <c r="X121" s="253"/>
      <c r="Y121" s="253"/>
      <c r="Z121" s="253"/>
      <c r="AA121" s="253"/>
      <c r="AB121" s="253"/>
      <c r="AC121" s="253"/>
      <c r="AD121" s="253"/>
      <c r="AE121" s="281">
        <v>4</v>
      </c>
      <c r="AF121" s="300">
        <v>115000</v>
      </c>
      <c r="AG121" s="253"/>
      <c r="AH121" s="301"/>
      <c r="AI121" s="297"/>
      <c r="AJ121" s="302"/>
      <c r="AK121" s="253"/>
      <c r="AL121" s="253"/>
      <c r="AM121" s="254" t="s">
        <v>112</v>
      </c>
      <c r="AN121" s="280" t="e">
        <f>AN120+AN118</f>
        <v>#REF!</v>
      </c>
      <c r="AO121" s="280" t="e">
        <f t="shared" ref="AO121:AY121" si="5">AO120+AO118</f>
        <v>#REF!</v>
      </c>
      <c r="AP121" s="280" t="e">
        <f t="shared" si="5"/>
        <v>#REF!</v>
      </c>
      <c r="AQ121" s="280" t="e">
        <f t="shared" si="5"/>
        <v>#REF!</v>
      </c>
      <c r="AR121" s="280" t="e">
        <f t="shared" si="5"/>
        <v>#REF!</v>
      </c>
      <c r="AS121" s="280" t="e">
        <f t="shared" si="5"/>
        <v>#REF!</v>
      </c>
      <c r="AT121" s="280" t="e">
        <f t="shared" si="5"/>
        <v>#REF!</v>
      </c>
      <c r="AU121" s="280" t="e">
        <f t="shared" si="5"/>
        <v>#REF!</v>
      </c>
      <c r="AV121" s="280" t="e">
        <f t="shared" si="5"/>
        <v>#REF!</v>
      </c>
      <c r="AW121" s="280" t="e">
        <f t="shared" si="5"/>
        <v>#REF!</v>
      </c>
      <c r="AX121" s="280" t="e">
        <f t="shared" si="5"/>
        <v>#REF!</v>
      </c>
      <c r="AY121" s="280" t="e">
        <f t="shared" si="5"/>
        <v>#REF!</v>
      </c>
      <c r="AZ121" s="253"/>
      <c r="BA121" s="253"/>
      <c r="BB121" s="253"/>
      <c r="BC121" s="253"/>
      <c r="BD121" s="164"/>
      <c r="BE121" s="164"/>
      <c r="BF121" s="164"/>
      <c r="BG121" s="164"/>
      <c r="BH121" s="164"/>
      <c r="BI121" s="164"/>
      <c r="BJ121" s="164"/>
    </row>
    <row r="122" spans="1:62" ht="15.75" hidden="1" outlineLevel="1" thickBot="1" x14ac:dyDescent="0.3">
      <c r="A122" s="164"/>
      <c r="B122" s="253"/>
      <c r="C122" s="281">
        <v>3501</v>
      </c>
      <c r="D122" s="282">
        <v>5</v>
      </c>
      <c r="E122" s="282">
        <f>E121</f>
        <v>55</v>
      </c>
      <c r="F122" s="297">
        <f t="shared" si="3"/>
        <v>275</v>
      </c>
      <c r="G122" s="303">
        <f t="shared" si="4"/>
        <v>100650</v>
      </c>
      <c r="H122" s="253"/>
      <c r="I122" s="281">
        <v>3.75</v>
      </c>
      <c r="J122" s="303">
        <f>I122*E122*366</f>
        <v>75487.5</v>
      </c>
      <c r="K122" s="253"/>
      <c r="L122" s="301"/>
      <c r="M122" s="302"/>
      <c r="N122" s="253"/>
      <c r="O122" s="253"/>
      <c r="P122" s="253"/>
      <c r="Q122" s="253"/>
      <c r="R122" s="290" t="e">
        <f>SUM(R120:R121)</f>
        <v>#REF!</v>
      </c>
      <c r="S122" s="304" t="e">
        <f>ROUND(SUM(S120:S121),2)</f>
        <v>#REF!</v>
      </c>
      <c r="T122" s="253"/>
      <c r="U122" s="295" t="s">
        <v>113</v>
      </c>
      <c r="V122" s="305">
        <f>N39/P125</f>
        <v>0</v>
      </c>
      <c r="W122" s="302"/>
      <c r="X122" s="253"/>
      <c r="Y122" s="253"/>
      <c r="Z122" s="253"/>
      <c r="AA122" s="253"/>
      <c r="AB122" s="253">
        <v>49375</v>
      </c>
      <c r="AC122" s="253">
        <v>10654</v>
      </c>
      <c r="AD122" s="253"/>
      <c r="AE122" s="253"/>
      <c r="AF122" s="253"/>
      <c r="AG122" s="253"/>
      <c r="AH122" s="253"/>
      <c r="AI122" s="253"/>
      <c r="AJ122" s="253"/>
      <c r="AK122" s="253"/>
      <c r="AL122" s="253"/>
      <c r="AM122" s="254" t="s">
        <v>114</v>
      </c>
      <c r="AN122" s="280" t="e">
        <f>MIN(AN121,#REF!)</f>
        <v>#REF!</v>
      </c>
      <c r="AO122" s="280" t="e">
        <f>MIN(AO121,#REF!)</f>
        <v>#REF!</v>
      </c>
      <c r="AP122" s="280" t="e">
        <f>MIN(AP121,#REF!)</f>
        <v>#REF!</v>
      </c>
      <c r="AQ122" s="280" t="e">
        <f>MIN(AQ121,#REF!)</f>
        <v>#REF!</v>
      </c>
      <c r="AR122" s="280" t="e">
        <f>MIN(AR121,#REF!)</f>
        <v>#REF!</v>
      </c>
      <c r="AS122" s="280" t="e">
        <f>MIN(AS121,#REF!)</f>
        <v>#REF!</v>
      </c>
      <c r="AT122" s="280" t="e">
        <f>MIN(AT121,#REF!)</f>
        <v>#REF!</v>
      </c>
      <c r="AU122" s="280" t="e">
        <f>MIN(AU121,#REF!)</f>
        <v>#REF!</v>
      </c>
      <c r="AV122" s="280" t="e">
        <f>MIN(AV121,#REF!)</f>
        <v>#REF!</v>
      </c>
      <c r="AW122" s="280" t="e">
        <f>MIN(AW121,#REF!)</f>
        <v>#REF!</v>
      </c>
      <c r="AX122" s="280" t="e">
        <f>MIN(AX121,#REF!)</f>
        <v>#REF!</v>
      </c>
      <c r="AY122" s="280" t="e">
        <f>MIN(AY121,#REF!)</f>
        <v>#REF!</v>
      </c>
      <c r="AZ122" s="253"/>
      <c r="BA122" s="253"/>
      <c r="BB122" s="253"/>
      <c r="BC122" s="253"/>
      <c r="BD122" s="164"/>
      <c r="BE122" s="164"/>
      <c r="BF122" s="164"/>
      <c r="BG122" s="164"/>
      <c r="BH122" s="164"/>
      <c r="BI122" s="164"/>
      <c r="BJ122" s="164"/>
    </row>
    <row r="123" spans="1:62" hidden="1" outlineLevel="1" x14ac:dyDescent="0.25">
      <c r="A123" s="164"/>
      <c r="B123" s="253"/>
      <c r="C123" s="253"/>
      <c r="D123" s="253"/>
      <c r="E123" s="253"/>
      <c r="F123" s="253"/>
      <c r="G123" s="253"/>
      <c r="H123" s="253"/>
      <c r="I123" s="253"/>
      <c r="J123" s="253"/>
      <c r="K123" s="253"/>
      <c r="L123" s="253"/>
      <c r="M123" s="253"/>
      <c r="N123" s="253"/>
      <c r="O123" s="253"/>
      <c r="P123" s="253"/>
      <c r="Q123" s="253"/>
      <c r="R123" s="253"/>
      <c r="S123" s="253"/>
      <c r="T123" s="253"/>
      <c r="U123" s="254" t="s">
        <v>115</v>
      </c>
      <c r="V123" s="306" t="e">
        <f>V121+V120+V122</f>
        <v>#REF!</v>
      </c>
      <c r="W123" s="306" t="e">
        <f>ROUND((INDEX(J120:J122,MATCH(O16,C120:C122,1))+R122)*2.25/366/1440,2)</f>
        <v>#REF!</v>
      </c>
      <c r="X123" s="253"/>
      <c r="Y123" s="253"/>
      <c r="Z123" s="253"/>
      <c r="AA123" s="253"/>
      <c r="AB123" s="253"/>
      <c r="AC123" s="253"/>
      <c r="AD123" s="253"/>
      <c r="AE123" s="253"/>
      <c r="AF123" s="253"/>
      <c r="AG123" s="253"/>
      <c r="AH123" s="253"/>
      <c r="AI123" s="253"/>
      <c r="AJ123" s="253"/>
      <c r="AK123" s="253"/>
      <c r="AL123" s="253"/>
      <c r="AM123" s="254" t="s">
        <v>116</v>
      </c>
      <c r="AN123" s="280" t="e">
        <f>MIN(AN121*1.25-AN121,#REF!-AN122)</f>
        <v>#REF!</v>
      </c>
      <c r="AO123" s="280" t="e">
        <f>MIN(AO121*1.25-AO121,#REF!-AO122)</f>
        <v>#REF!</v>
      </c>
      <c r="AP123" s="280" t="e">
        <f>MIN(AP121*1.25-AP121,#REF!-AP122)</f>
        <v>#REF!</v>
      </c>
      <c r="AQ123" s="280" t="e">
        <f>MIN(AQ121*1.25-AQ121,#REF!-AQ122)</f>
        <v>#REF!</v>
      </c>
      <c r="AR123" s="280" t="e">
        <f>MIN(AR121*1.25-AR121,#REF!-AR122)</f>
        <v>#REF!</v>
      </c>
      <c r="AS123" s="280" t="e">
        <f>MIN(AS121*1.25-AS121,#REF!-AS122)</f>
        <v>#REF!</v>
      </c>
      <c r="AT123" s="280" t="e">
        <f>MIN(AT121*1.25-AT121,#REF!-AT122)</f>
        <v>#REF!</v>
      </c>
      <c r="AU123" s="280" t="e">
        <f>MIN(AU121*1.25-AU121,#REF!-AU122)</f>
        <v>#REF!</v>
      </c>
      <c r="AV123" s="280" t="e">
        <f>MIN(AV121*1.25-AV121,#REF!-AV122)</f>
        <v>#REF!</v>
      </c>
      <c r="AW123" s="280" t="e">
        <f>MIN(AW121*1.25-AW121,#REF!-AW122)</f>
        <v>#REF!</v>
      </c>
      <c r="AX123" s="280" t="e">
        <f>MIN(AX121*1.25-AX121,#REF!-AX122)</f>
        <v>#REF!</v>
      </c>
      <c r="AY123" s="280" t="e">
        <f>MIN(AY121*1.25-AY121,#REF!-AY122)</f>
        <v>#REF!</v>
      </c>
      <c r="AZ123" s="253"/>
      <c r="BA123" s="253"/>
      <c r="BB123" s="253"/>
      <c r="BC123" s="253"/>
      <c r="BD123" s="164"/>
      <c r="BE123" s="164"/>
      <c r="BF123" s="164"/>
      <c r="BG123" s="164"/>
      <c r="BH123" s="164"/>
      <c r="BI123" s="164"/>
      <c r="BJ123" s="164"/>
    </row>
    <row r="124" spans="1:62" hidden="1" outlineLevel="1" x14ac:dyDescent="0.25">
      <c r="A124" s="164"/>
      <c r="B124" s="253"/>
      <c r="C124" s="253"/>
      <c r="D124" s="253"/>
      <c r="E124" s="253"/>
      <c r="F124" s="253"/>
      <c r="G124" s="253"/>
      <c r="H124" s="253"/>
      <c r="I124" s="253"/>
      <c r="J124" s="253"/>
      <c r="K124" s="253"/>
      <c r="L124" s="253"/>
      <c r="M124" s="253"/>
      <c r="N124" s="253"/>
      <c r="O124" s="253"/>
      <c r="P124" s="253"/>
      <c r="Q124" s="253"/>
      <c r="R124" s="253"/>
      <c r="S124" s="253"/>
      <c r="T124" s="253"/>
      <c r="U124" s="253"/>
      <c r="V124" s="253"/>
      <c r="W124" s="253"/>
      <c r="X124" s="253"/>
      <c r="Y124" s="253"/>
      <c r="Z124" s="253"/>
      <c r="AA124" s="253"/>
      <c r="AB124" s="253"/>
      <c r="AC124" s="253"/>
      <c r="AD124" s="253"/>
      <c r="AE124" s="253"/>
      <c r="AF124" s="253"/>
      <c r="AG124" s="253"/>
      <c r="AH124" s="253"/>
      <c r="AI124" s="253"/>
      <c r="AJ124" s="253"/>
      <c r="AK124" s="253"/>
      <c r="AL124" s="253"/>
      <c r="AM124" s="254" t="s">
        <v>117</v>
      </c>
      <c r="AN124" s="280" t="e">
        <f>MIN(AN121*1.5-AN121*1.25,#REF!-AN122-AN123)</f>
        <v>#REF!</v>
      </c>
      <c r="AO124" s="280" t="e">
        <f>MIN(AO121*1.5-AO121*1.25,#REF!-AO122-AO123)</f>
        <v>#REF!</v>
      </c>
      <c r="AP124" s="280" t="e">
        <f>MIN(AP121*1.5-AP121*1.25,#REF!-AP122-AP123)</f>
        <v>#REF!</v>
      </c>
      <c r="AQ124" s="280" t="e">
        <f>MIN(AQ121*1.5-AQ121*1.25,#REF!-AQ122-AQ123)</f>
        <v>#REF!</v>
      </c>
      <c r="AR124" s="280" t="e">
        <f>MIN(AR121*1.5-AR121*1.25,#REF!-AR122-AR123)</f>
        <v>#REF!</v>
      </c>
      <c r="AS124" s="280" t="e">
        <f>MIN(AS121*1.5-AS121*1.25,#REF!-AS122-AS123)</f>
        <v>#REF!</v>
      </c>
      <c r="AT124" s="280" t="e">
        <f>MIN(AT121*1.5-AT121*1.25,#REF!-AT122-AT123)</f>
        <v>#REF!</v>
      </c>
      <c r="AU124" s="280" t="e">
        <f>MIN(AU121*1.5-AU121*1.25,#REF!-AU122-AU123)</f>
        <v>#REF!</v>
      </c>
      <c r="AV124" s="280" t="e">
        <f>MIN(AV121*1.5-AV121*1.25,#REF!-AV122-AV123)</f>
        <v>#REF!</v>
      </c>
      <c r="AW124" s="280" t="e">
        <f>MIN(AW121*1.5-AW121*1.25,#REF!-AW122-AW123)</f>
        <v>#REF!</v>
      </c>
      <c r="AX124" s="280" t="e">
        <f>MIN(AX121*1.5-AX121*1.25,#REF!-AX122-AX123)</f>
        <v>#REF!</v>
      </c>
      <c r="AY124" s="280" t="e">
        <f>MIN(AY121*1.5-AY121*1.25,#REF!-AY122-AY123)</f>
        <v>#REF!</v>
      </c>
      <c r="AZ124" s="253"/>
      <c r="BA124" s="253"/>
      <c r="BB124" s="253"/>
      <c r="BC124" s="253"/>
      <c r="BD124" s="164"/>
      <c r="BE124" s="164"/>
      <c r="BF124" s="164"/>
      <c r="BG124" s="164"/>
      <c r="BH124" s="164"/>
      <c r="BI124" s="164"/>
      <c r="BJ124" s="164"/>
    </row>
    <row r="125" spans="1:62" hidden="1" outlineLevel="1" x14ac:dyDescent="0.25">
      <c r="A125" s="164"/>
      <c r="B125" s="253"/>
      <c r="C125" s="253"/>
      <c r="D125" s="253"/>
      <c r="E125" s="253"/>
      <c r="F125" s="253"/>
      <c r="G125" s="253"/>
      <c r="H125" s="253"/>
      <c r="I125" s="253"/>
      <c r="J125" s="253"/>
      <c r="K125" s="253"/>
      <c r="L125" s="253"/>
      <c r="M125" s="253"/>
      <c r="N125" s="253"/>
      <c r="O125" s="254" t="s">
        <v>118</v>
      </c>
      <c r="P125" s="307">
        <f>1/1120*1000000*365</f>
        <v>325892.8571428571</v>
      </c>
      <c r="Q125" s="253" t="s">
        <v>119</v>
      </c>
      <c r="R125" s="253"/>
      <c r="S125" s="253"/>
      <c r="T125" s="253"/>
      <c r="U125" s="253"/>
      <c r="V125" s="253"/>
      <c r="W125" s="253"/>
      <c r="X125" s="253"/>
      <c r="Y125" s="253"/>
      <c r="Z125" s="253"/>
      <c r="AA125" s="253"/>
      <c r="AB125" s="253"/>
      <c r="AC125" s="253"/>
      <c r="AD125" s="253"/>
      <c r="AE125" s="253"/>
      <c r="AF125" s="253"/>
      <c r="AG125" s="253"/>
      <c r="AH125" s="253"/>
      <c r="AI125" s="253"/>
      <c r="AJ125" s="253"/>
      <c r="AK125" s="253"/>
      <c r="AL125" s="253"/>
      <c r="AM125" s="254" t="s">
        <v>120</v>
      </c>
      <c r="AN125" s="280" t="e">
        <f>#REF!-AN122-AN123-AN124</f>
        <v>#REF!</v>
      </c>
      <c r="AO125" s="280" t="e">
        <f>#REF!-AO122-AO123-AO124</f>
        <v>#REF!</v>
      </c>
      <c r="AP125" s="280" t="e">
        <f>#REF!-AP122-AP123-AP124</f>
        <v>#REF!</v>
      </c>
      <c r="AQ125" s="280" t="e">
        <f>#REF!-AQ122-AQ123-AQ124</f>
        <v>#REF!</v>
      </c>
      <c r="AR125" s="280" t="e">
        <f>#REF!-AR122-AR123-AR124</f>
        <v>#REF!</v>
      </c>
      <c r="AS125" s="280" t="e">
        <f>#REF!-AS122-AS123-AS124</f>
        <v>#REF!</v>
      </c>
      <c r="AT125" s="280" t="e">
        <f>#REF!-AT122-AT123-AT124</f>
        <v>#REF!</v>
      </c>
      <c r="AU125" s="280" t="e">
        <f>#REF!-AU122-AU123-AU124</f>
        <v>#REF!</v>
      </c>
      <c r="AV125" s="280" t="e">
        <f>#REF!-AV122-AV123-AV124</f>
        <v>#REF!</v>
      </c>
      <c r="AW125" s="280" t="e">
        <f>#REF!-AW122-AW123-AW124</f>
        <v>#REF!</v>
      </c>
      <c r="AX125" s="280" t="e">
        <f>#REF!-AX122-AX123-AX124</f>
        <v>#REF!</v>
      </c>
      <c r="AY125" s="280" t="e">
        <f>#REF!-AY122-AY123-AY124</f>
        <v>#REF!</v>
      </c>
      <c r="AZ125" s="253"/>
      <c r="BA125" s="253"/>
      <c r="BB125" s="253"/>
      <c r="BC125" s="253"/>
      <c r="BD125" s="164"/>
      <c r="BE125" s="164"/>
      <c r="BF125" s="164"/>
      <c r="BG125" s="164"/>
      <c r="BH125" s="164"/>
      <c r="BI125" s="164"/>
      <c r="BJ125" s="164"/>
    </row>
    <row r="126" spans="1:62" hidden="1" outlineLevel="1" x14ac:dyDescent="0.25">
      <c r="A126" s="164"/>
      <c r="B126" s="253"/>
      <c r="C126" s="253"/>
      <c r="D126" s="253"/>
      <c r="E126" s="253"/>
      <c r="F126" s="253"/>
      <c r="G126" s="253"/>
      <c r="H126" s="253"/>
      <c r="I126" s="253"/>
      <c r="J126" s="253"/>
      <c r="K126" s="253"/>
      <c r="L126" s="253"/>
      <c r="M126" s="253"/>
      <c r="N126" s="253"/>
      <c r="O126" s="253"/>
      <c r="P126" s="253"/>
      <c r="Q126" s="253"/>
      <c r="R126" s="253"/>
      <c r="S126" s="253"/>
      <c r="T126" s="253"/>
      <c r="U126" s="254" t="s">
        <v>108</v>
      </c>
      <c r="V126" s="253">
        <f>INDEX(J120:J122,MATCH(O16,C120:C122,1))</f>
        <v>50325</v>
      </c>
      <c r="W126" s="253" t="s">
        <v>98</v>
      </c>
      <c r="X126" s="253"/>
      <c r="Y126" s="253"/>
      <c r="Z126" s="253"/>
      <c r="AA126" s="253"/>
      <c r="AB126" s="253"/>
      <c r="AC126" s="253"/>
      <c r="AD126" s="253"/>
      <c r="AE126" s="253"/>
      <c r="AF126" s="253"/>
      <c r="AG126" s="253"/>
      <c r="AH126" s="253"/>
      <c r="AI126" s="253"/>
      <c r="AJ126" s="253"/>
      <c r="AK126" s="253"/>
      <c r="AL126" s="253"/>
      <c r="AM126" s="254" t="s">
        <v>121</v>
      </c>
      <c r="AN126" s="280" t="e">
        <f>SUM(AN122:AN125)</f>
        <v>#REF!</v>
      </c>
      <c r="AO126" s="280" t="e">
        <f t="shared" ref="AO126:AY126" si="6">SUM(AO122:AO125)</f>
        <v>#REF!</v>
      </c>
      <c r="AP126" s="280" t="e">
        <f t="shared" si="6"/>
        <v>#REF!</v>
      </c>
      <c r="AQ126" s="280" t="e">
        <f t="shared" si="6"/>
        <v>#REF!</v>
      </c>
      <c r="AR126" s="280" t="e">
        <f t="shared" si="6"/>
        <v>#REF!</v>
      </c>
      <c r="AS126" s="280" t="e">
        <f t="shared" si="6"/>
        <v>#REF!</v>
      </c>
      <c r="AT126" s="280" t="e">
        <f t="shared" si="6"/>
        <v>#REF!</v>
      </c>
      <c r="AU126" s="280" t="e">
        <f t="shared" si="6"/>
        <v>#REF!</v>
      </c>
      <c r="AV126" s="280" t="e">
        <f t="shared" si="6"/>
        <v>#REF!</v>
      </c>
      <c r="AW126" s="280" t="e">
        <f t="shared" si="6"/>
        <v>#REF!</v>
      </c>
      <c r="AX126" s="280" t="e">
        <f t="shared" si="6"/>
        <v>#REF!</v>
      </c>
      <c r="AY126" s="280" t="e">
        <f t="shared" si="6"/>
        <v>#REF!</v>
      </c>
      <c r="AZ126" s="253"/>
      <c r="BA126" s="253"/>
      <c r="BB126" s="253"/>
      <c r="BC126" s="253"/>
      <c r="BD126" s="164"/>
      <c r="BE126" s="164"/>
      <c r="BF126" s="164"/>
      <c r="BG126" s="164"/>
      <c r="BH126" s="164"/>
      <c r="BI126" s="164"/>
      <c r="BJ126" s="164"/>
    </row>
    <row r="127" spans="1:62" hidden="1" outlineLevel="1" x14ac:dyDescent="0.25">
      <c r="A127" s="164"/>
      <c r="B127" s="253"/>
      <c r="C127" s="253"/>
      <c r="D127" s="253"/>
      <c r="E127" s="253"/>
      <c r="F127" s="253"/>
      <c r="G127" s="253"/>
      <c r="H127" s="253"/>
      <c r="I127" s="253"/>
      <c r="J127" s="253"/>
      <c r="K127" s="253"/>
      <c r="L127" s="253"/>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c r="AK127" s="253"/>
      <c r="AL127" s="253"/>
      <c r="AM127" s="253"/>
      <c r="AN127" s="253"/>
      <c r="AO127" s="253"/>
      <c r="AP127" s="253"/>
      <c r="AQ127" s="253"/>
      <c r="AR127" s="253"/>
      <c r="AS127" s="253"/>
      <c r="AT127" s="253"/>
      <c r="AU127" s="253"/>
      <c r="AV127" s="253"/>
      <c r="AW127" s="253"/>
      <c r="AX127" s="253"/>
      <c r="AY127" s="253"/>
      <c r="AZ127" s="253"/>
      <c r="BA127" s="253"/>
      <c r="BB127" s="253"/>
      <c r="BC127" s="253"/>
      <c r="BD127" s="164"/>
      <c r="BE127" s="164"/>
      <c r="BF127" s="164"/>
      <c r="BG127" s="164"/>
      <c r="BH127" s="164"/>
      <c r="BI127" s="164"/>
      <c r="BJ127" s="164"/>
    </row>
    <row r="128" spans="1:62" hidden="1" outlineLevel="1" x14ac:dyDescent="0.25">
      <c r="A128" s="164"/>
      <c r="B128" s="253"/>
      <c r="C128" s="253"/>
      <c r="D128" s="253"/>
      <c r="E128" s="253"/>
      <c r="F128" s="253"/>
      <c r="G128" s="253"/>
      <c r="H128" s="253"/>
      <c r="I128" s="253"/>
      <c r="J128" s="253"/>
      <c r="K128" s="253"/>
      <c r="L128" s="253"/>
      <c r="M128" s="253"/>
      <c r="N128" s="253"/>
      <c r="O128" s="253"/>
      <c r="P128" s="253"/>
      <c r="Q128" s="253"/>
      <c r="R128" s="253"/>
      <c r="S128" s="253"/>
      <c r="T128" s="253"/>
      <c r="U128" s="253"/>
      <c r="V128" s="253"/>
      <c r="W128" s="253"/>
      <c r="X128" s="253"/>
      <c r="Y128" s="253"/>
      <c r="Z128" s="253"/>
      <c r="AA128" s="253"/>
      <c r="AB128" s="253"/>
      <c r="AC128" s="253"/>
      <c r="AD128" s="253"/>
      <c r="AE128" s="253"/>
      <c r="AF128" s="253"/>
      <c r="AG128" s="253"/>
      <c r="AH128" s="253"/>
      <c r="AI128" s="253"/>
      <c r="AJ128" s="253"/>
      <c r="AK128" s="253"/>
      <c r="AL128" s="253"/>
      <c r="AM128" s="254" t="s">
        <v>122</v>
      </c>
      <c r="AN128" s="280" t="e">
        <f>AVERAGE(AY126,AN126,AO126)</f>
        <v>#REF!</v>
      </c>
      <c r="AO128" s="253"/>
      <c r="AP128" s="253"/>
      <c r="AQ128" s="253"/>
      <c r="AR128" s="253"/>
      <c r="AS128" s="253"/>
      <c r="AT128" s="253"/>
      <c r="AU128" s="253"/>
      <c r="AV128" s="253"/>
      <c r="AW128" s="253"/>
      <c r="AX128" s="253"/>
      <c r="AY128" s="253"/>
      <c r="AZ128" s="253"/>
      <c r="BA128" s="253"/>
      <c r="BB128" s="253"/>
      <c r="BC128" s="253"/>
      <c r="BD128" s="164"/>
      <c r="BE128" s="164"/>
      <c r="BF128" s="164"/>
      <c r="BG128" s="164"/>
      <c r="BH128" s="164"/>
      <c r="BI128" s="164"/>
      <c r="BJ128" s="164"/>
    </row>
    <row r="129" spans="1:62" hidden="1" outlineLevel="1" x14ac:dyDescent="0.25">
      <c r="A129" s="164"/>
      <c r="B129" s="253"/>
      <c r="C129" s="253"/>
      <c r="D129" s="253"/>
      <c r="E129" s="253"/>
      <c r="F129" s="253"/>
      <c r="G129" s="253"/>
      <c r="H129" s="253"/>
      <c r="I129" s="253"/>
      <c r="J129" s="253"/>
      <c r="K129" s="253"/>
      <c r="L129" s="253"/>
      <c r="M129" s="253"/>
      <c r="N129" s="253"/>
      <c r="O129" s="253"/>
      <c r="P129" s="253"/>
      <c r="Q129" s="253"/>
      <c r="R129" s="253"/>
      <c r="S129" s="253"/>
      <c r="T129" s="253"/>
      <c r="U129" s="253"/>
      <c r="V129" s="253"/>
      <c r="W129" s="253"/>
      <c r="X129" s="253"/>
      <c r="Y129" s="253"/>
      <c r="Z129" s="253"/>
      <c r="AA129" s="253"/>
      <c r="AB129" s="253"/>
      <c r="AC129" s="253"/>
      <c r="AD129" s="253"/>
      <c r="AE129" s="253"/>
      <c r="AF129" s="253"/>
      <c r="AG129" s="253"/>
      <c r="AH129" s="253"/>
      <c r="AI129" s="253"/>
      <c r="AJ129" s="253"/>
      <c r="AK129" s="253"/>
      <c r="AL129" s="253"/>
      <c r="AM129" s="253"/>
      <c r="AN129" s="253"/>
      <c r="AO129" s="253"/>
      <c r="AP129" s="253"/>
      <c r="AQ129" s="253"/>
      <c r="AR129" s="253"/>
      <c r="AS129" s="253"/>
      <c r="AT129" s="253"/>
      <c r="AU129" s="253"/>
      <c r="AV129" s="253"/>
      <c r="AW129" s="253"/>
      <c r="AX129" s="253"/>
      <c r="AY129" s="253"/>
      <c r="AZ129" s="253"/>
      <c r="BA129" s="253"/>
      <c r="BB129" s="253"/>
      <c r="BC129" s="253"/>
      <c r="BD129" s="164"/>
      <c r="BE129" s="164"/>
      <c r="BF129" s="164"/>
      <c r="BG129" s="164"/>
      <c r="BH129" s="164"/>
      <c r="BI129" s="164"/>
      <c r="BJ129" s="164"/>
    </row>
    <row r="130" spans="1:62" hidden="1" outlineLevel="1" x14ac:dyDescent="0.25">
      <c r="A130" s="164"/>
      <c r="B130" s="253"/>
      <c r="C130" s="253"/>
      <c r="D130" s="253"/>
      <c r="E130" s="253"/>
      <c r="F130" s="253"/>
      <c r="G130" s="253"/>
      <c r="H130" s="253"/>
      <c r="I130" s="253"/>
      <c r="J130" s="253"/>
      <c r="K130" s="253"/>
      <c r="L130" s="253"/>
      <c r="M130" s="253"/>
      <c r="N130" s="253"/>
      <c r="O130" s="253"/>
      <c r="P130" s="253"/>
      <c r="Q130" s="253"/>
      <c r="R130" s="253"/>
      <c r="S130" s="253"/>
      <c r="T130" s="253"/>
      <c r="U130" s="253"/>
      <c r="V130" s="253"/>
      <c r="W130" s="253"/>
      <c r="X130" s="253"/>
      <c r="Y130" s="253"/>
      <c r="Z130" s="253"/>
      <c r="AA130" s="253"/>
      <c r="AB130" s="253"/>
      <c r="AC130" s="253"/>
      <c r="AD130" s="253"/>
      <c r="AE130" s="253"/>
      <c r="AF130" s="253"/>
      <c r="AG130" s="253"/>
      <c r="AH130" s="253"/>
      <c r="AI130" s="253"/>
      <c r="AJ130" s="253"/>
      <c r="AK130" s="253"/>
      <c r="AL130" s="253"/>
      <c r="AM130" s="253"/>
      <c r="AN130" s="253"/>
      <c r="AO130" s="253"/>
      <c r="AP130" s="253"/>
      <c r="AQ130" s="253"/>
      <c r="AR130" s="253"/>
      <c r="AS130" s="253"/>
      <c r="AT130" s="253"/>
      <c r="AU130" s="253"/>
      <c r="AV130" s="253"/>
      <c r="AW130" s="253"/>
      <c r="AX130" s="253"/>
      <c r="AY130" s="253"/>
      <c r="AZ130" s="253"/>
      <c r="BA130" s="253"/>
      <c r="BB130" s="253"/>
      <c r="BC130" s="253"/>
      <c r="BD130" s="164"/>
      <c r="BE130" s="164"/>
      <c r="BF130" s="164"/>
      <c r="BG130" s="164"/>
      <c r="BH130" s="164"/>
      <c r="BI130" s="164"/>
      <c r="BJ130" s="164"/>
    </row>
    <row r="131" spans="1:62" hidden="1" outlineLevel="1" x14ac:dyDescent="0.25">
      <c r="A131" s="164"/>
      <c r="B131" s="253"/>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c r="AA131" s="253"/>
      <c r="AB131" s="253"/>
      <c r="AC131" s="253"/>
      <c r="AD131" s="253"/>
      <c r="AE131" s="253"/>
      <c r="AF131" s="253"/>
      <c r="AG131" s="253"/>
      <c r="AH131" s="253"/>
      <c r="AI131" s="253"/>
      <c r="AJ131" s="253"/>
      <c r="AK131" s="253"/>
      <c r="AL131" s="253"/>
      <c r="AM131" s="253"/>
      <c r="AN131" s="253"/>
      <c r="AO131" s="253"/>
      <c r="AP131" s="253"/>
      <c r="AQ131" s="253"/>
      <c r="AR131" s="253"/>
      <c r="AS131" s="253"/>
      <c r="AT131" s="253"/>
      <c r="AU131" s="253"/>
      <c r="AV131" s="253"/>
      <c r="AW131" s="253"/>
      <c r="AX131" s="253"/>
      <c r="AY131" s="253"/>
      <c r="AZ131" s="253"/>
      <c r="BA131" s="253"/>
      <c r="BB131" s="253"/>
      <c r="BC131" s="253"/>
      <c r="BD131" s="164"/>
      <c r="BE131" s="164"/>
      <c r="BF131" s="164"/>
      <c r="BG131" s="164"/>
      <c r="BH131" s="164"/>
      <c r="BI131" s="164"/>
      <c r="BJ131" s="164"/>
    </row>
    <row r="132" spans="1:62" hidden="1" outlineLevel="1" x14ac:dyDescent="0.25">
      <c r="A132" s="164"/>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c r="AE132" s="253"/>
      <c r="AF132" s="253"/>
      <c r="AG132" s="253"/>
      <c r="AH132" s="253"/>
      <c r="AI132" s="253"/>
      <c r="AJ132" s="253"/>
      <c r="AK132" s="253"/>
      <c r="AL132" s="253"/>
      <c r="AM132" s="253"/>
      <c r="AN132" s="253"/>
      <c r="AO132" s="253"/>
      <c r="AP132" s="253"/>
      <c r="AQ132" s="253"/>
      <c r="AR132" s="253"/>
      <c r="AS132" s="253"/>
      <c r="AT132" s="253"/>
      <c r="AU132" s="253"/>
      <c r="AV132" s="253"/>
      <c r="AW132" s="253"/>
      <c r="AX132" s="253"/>
      <c r="AY132" s="253"/>
      <c r="AZ132" s="253"/>
      <c r="BA132" s="253"/>
      <c r="BB132" s="253"/>
      <c r="BC132" s="253"/>
      <c r="BD132" s="164"/>
      <c r="BE132" s="164"/>
      <c r="BF132" s="164"/>
      <c r="BG132" s="164"/>
      <c r="BH132" s="164"/>
      <c r="BI132" s="164"/>
      <c r="BJ132" s="164"/>
    </row>
    <row r="133" spans="1:62" hidden="1" outlineLevel="1" x14ac:dyDescent="0.25">
      <c r="A133" s="164"/>
      <c r="B133" s="253"/>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c r="AA133" s="253"/>
      <c r="AB133" s="253"/>
      <c r="AC133" s="253"/>
      <c r="AD133" s="253"/>
      <c r="AE133" s="253"/>
      <c r="AF133" s="253"/>
      <c r="AG133" s="253"/>
      <c r="AH133" s="253"/>
      <c r="AI133" s="253"/>
      <c r="AJ133" s="253"/>
      <c r="AK133" s="253"/>
      <c r="AL133" s="253"/>
      <c r="AM133" s="253"/>
      <c r="AN133" s="253"/>
      <c r="AO133" s="253"/>
      <c r="AP133" s="253"/>
      <c r="AQ133" s="253"/>
      <c r="AR133" s="253"/>
      <c r="AS133" s="253"/>
      <c r="AT133" s="253"/>
      <c r="AU133" s="253"/>
      <c r="AV133" s="253"/>
      <c r="AW133" s="253"/>
      <c r="AX133" s="253"/>
      <c r="AY133" s="253"/>
      <c r="AZ133" s="253"/>
      <c r="BA133" s="253"/>
      <c r="BB133" s="253"/>
      <c r="BC133" s="253"/>
      <c r="BD133" s="164"/>
      <c r="BE133" s="164"/>
      <c r="BF133" s="164"/>
      <c r="BG133" s="164"/>
      <c r="BH133" s="164"/>
      <c r="BI133" s="164"/>
      <c r="BJ133" s="164"/>
    </row>
    <row r="134" spans="1:62" hidden="1" outlineLevel="1" x14ac:dyDescent="0.25">
      <c r="A134" s="164"/>
      <c r="B134" s="253"/>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c r="AA134" s="253"/>
      <c r="AB134" s="253"/>
      <c r="AC134" s="253"/>
      <c r="AD134" s="253"/>
      <c r="AE134" s="253"/>
      <c r="AF134" s="253"/>
      <c r="AG134" s="253"/>
      <c r="AH134" s="253"/>
      <c r="AI134" s="253"/>
      <c r="AJ134" s="253"/>
      <c r="AK134" s="253"/>
      <c r="AL134" s="253"/>
      <c r="AM134" s="253"/>
      <c r="AN134" s="253"/>
      <c r="AO134" s="253"/>
      <c r="AP134" s="253"/>
      <c r="AQ134" s="253"/>
      <c r="AR134" s="253"/>
      <c r="AS134" s="253"/>
      <c r="AT134" s="253"/>
      <c r="AU134" s="253"/>
      <c r="AV134" s="253"/>
      <c r="AW134" s="253"/>
      <c r="AX134" s="253"/>
      <c r="AY134" s="253"/>
      <c r="AZ134" s="253"/>
      <c r="BA134" s="253"/>
      <c r="BB134" s="253"/>
      <c r="BC134" s="253"/>
      <c r="BD134" s="164"/>
      <c r="BE134" s="164"/>
      <c r="BF134" s="164"/>
      <c r="BG134" s="164"/>
      <c r="BH134" s="164"/>
      <c r="BI134" s="164"/>
      <c r="BJ134" s="164"/>
    </row>
    <row r="135" spans="1:62" outlineLevel="1" x14ac:dyDescent="0.25">
      <c r="A135" s="164"/>
      <c r="B135" s="164"/>
      <c r="C135" s="164"/>
      <c r="D135" s="164"/>
      <c r="E135" s="164"/>
      <c r="F135" s="164"/>
      <c r="G135" s="164"/>
      <c r="H135" s="164"/>
      <c r="I135" s="164"/>
      <c r="J135" s="164"/>
      <c r="K135" s="164"/>
      <c r="L135" s="164"/>
      <c r="M135" s="164"/>
      <c r="N135" s="164"/>
      <c r="O135" s="164"/>
      <c r="P135" s="164"/>
      <c r="Q135" s="164"/>
      <c r="AK135" s="164"/>
      <c r="AL135" s="164"/>
      <c r="AM135" s="164"/>
      <c r="AN135" s="164"/>
      <c r="AO135" s="164"/>
      <c r="AP135" s="164"/>
      <c r="AQ135" s="164"/>
      <c r="AR135" s="164"/>
      <c r="AS135" s="164"/>
      <c r="AT135" s="164"/>
      <c r="AU135" s="164"/>
      <c r="AV135" s="164"/>
      <c r="AW135" s="164"/>
      <c r="AX135" s="164"/>
      <c r="AY135" s="164"/>
      <c r="AZ135" s="164"/>
      <c r="BA135" s="164"/>
      <c r="BB135" s="164"/>
      <c r="BC135" s="164"/>
      <c r="BD135" s="164"/>
      <c r="BE135" s="164"/>
      <c r="BF135" s="164"/>
      <c r="BG135" s="164"/>
      <c r="BH135" s="164"/>
      <c r="BI135" s="164"/>
      <c r="BJ135" s="164"/>
    </row>
    <row r="136" spans="1:62" outlineLevel="1" x14ac:dyDescent="0.25">
      <c r="A136" s="164"/>
      <c r="B136" s="164"/>
      <c r="C136" s="164"/>
      <c r="D136" s="164"/>
      <c r="E136" s="164"/>
      <c r="F136" s="164"/>
      <c r="G136" s="164"/>
      <c r="H136" s="164"/>
      <c r="I136" s="164"/>
      <c r="J136" s="164"/>
      <c r="K136" s="164"/>
      <c r="L136" s="164"/>
      <c r="M136" s="164"/>
      <c r="N136" s="164"/>
      <c r="O136" s="164"/>
      <c r="P136" s="164"/>
      <c r="Q136" s="164"/>
      <c r="AK136" s="164"/>
      <c r="AL136" s="164"/>
      <c r="AM136" s="164"/>
      <c r="AN136" s="164"/>
      <c r="AO136" s="164"/>
      <c r="AP136" s="164"/>
      <c r="AQ136" s="164"/>
      <c r="AR136" s="164"/>
      <c r="AS136" s="164"/>
      <c r="AT136" s="164"/>
      <c r="AU136" s="164"/>
      <c r="AV136" s="164"/>
      <c r="AW136" s="164"/>
      <c r="AX136" s="164"/>
      <c r="AY136" s="164"/>
      <c r="AZ136" s="164"/>
      <c r="BA136" s="164"/>
      <c r="BB136" s="164"/>
      <c r="BC136" s="164"/>
      <c r="BD136" s="164"/>
      <c r="BE136" s="164"/>
      <c r="BF136" s="164"/>
      <c r="BG136" s="164"/>
      <c r="BH136" s="164"/>
      <c r="BI136" s="164"/>
      <c r="BJ136" s="164"/>
    </row>
    <row r="137" spans="1:62" outlineLevel="1" x14ac:dyDescent="0.25">
      <c r="A137" s="164"/>
      <c r="B137" s="164"/>
      <c r="C137" s="164"/>
      <c r="D137" s="164"/>
      <c r="E137" s="164"/>
      <c r="F137" s="164"/>
      <c r="G137" s="164"/>
      <c r="H137" s="164"/>
      <c r="I137" s="164"/>
      <c r="J137" s="164"/>
      <c r="K137" s="164"/>
      <c r="L137" s="164"/>
      <c r="M137" s="164"/>
      <c r="N137" s="164"/>
      <c r="O137" s="164"/>
      <c r="P137" s="164"/>
      <c r="Q137" s="164"/>
      <c r="AK137" s="164"/>
      <c r="AL137" s="164"/>
      <c r="AM137" s="164"/>
      <c r="AN137" s="164"/>
      <c r="AO137" s="164"/>
      <c r="AP137" s="164"/>
      <c r="AQ137" s="164"/>
      <c r="AR137" s="164"/>
      <c r="AS137" s="164"/>
      <c r="AT137" s="164"/>
      <c r="AU137" s="164"/>
      <c r="AV137" s="164"/>
      <c r="AW137" s="164"/>
      <c r="AX137" s="164"/>
      <c r="AY137" s="164"/>
      <c r="AZ137" s="164"/>
      <c r="BA137" s="164"/>
      <c r="BB137" s="164"/>
      <c r="BC137" s="164"/>
      <c r="BD137" s="164"/>
      <c r="BE137" s="164"/>
      <c r="BF137" s="164"/>
      <c r="BG137" s="164"/>
      <c r="BH137" s="164"/>
      <c r="BI137" s="164"/>
      <c r="BJ137" s="164"/>
    </row>
    <row r="138" spans="1:62" outlineLevel="1" x14ac:dyDescent="0.25">
      <c r="A138" s="164"/>
      <c r="B138" s="164"/>
      <c r="C138" s="164"/>
      <c r="D138" s="164"/>
      <c r="E138" s="164"/>
      <c r="F138" s="164"/>
      <c r="G138" s="164"/>
      <c r="H138" s="164"/>
      <c r="I138" s="164"/>
      <c r="J138" s="164"/>
      <c r="K138" s="164"/>
      <c r="L138" s="164"/>
      <c r="M138" s="164"/>
      <c r="N138" s="164"/>
      <c r="O138" s="164"/>
      <c r="P138" s="164"/>
      <c r="Q138" s="164"/>
      <c r="AK138" s="164"/>
      <c r="AL138" s="164"/>
      <c r="AM138" s="164"/>
      <c r="AN138" s="164"/>
      <c r="AO138" s="164"/>
      <c r="AP138" s="164"/>
      <c r="AQ138" s="164"/>
      <c r="AR138" s="164"/>
      <c r="AS138" s="164"/>
      <c r="AT138" s="164"/>
      <c r="AU138" s="164"/>
      <c r="AV138" s="164"/>
      <c r="AW138" s="164"/>
      <c r="AX138" s="164"/>
      <c r="AY138" s="164"/>
      <c r="AZ138" s="164"/>
      <c r="BA138" s="164"/>
      <c r="BB138" s="164"/>
      <c r="BC138" s="164"/>
      <c r="BD138" s="164"/>
      <c r="BE138" s="164"/>
      <c r="BF138" s="164"/>
      <c r="BG138" s="164"/>
      <c r="BH138" s="164"/>
      <c r="BI138" s="164"/>
      <c r="BJ138" s="164"/>
    </row>
    <row r="139" spans="1:62" outlineLevel="1" x14ac:dyDescent="0.25">
      <c r="A139" s="164"/>
      <c r="B139" s="164"/>
      <c r="C139" s="164"/>
      <c r="D139" s="164"/>
      <c r="E139" s="164"/>
      <c r="F139" s="164"/>
      <c r="G139" s="164"/>
      <c r="H139" s="164"/>
      <c r="I139" s="164"/>
      <c r="J139" s="164"/>
      <c r="K139" s="164"/>
      <c r="L139" s="164"/>
      <c r="M139" s="164"/>
      <c r="N139" s="164"/>
      <c r="O139" s="164"/>
      <c r="P139" s="164"/>
      <c r="Q139" s="164"/>
      <c r="AK139" s="164"/>
      <c r="AL139" s="164"/>
      <c r="AM139" s="164"/>
      <c r="AN139" s="164"/>
      <c r="AO139" s="164"/>
      <c r="AP139" s="164"/>
      <c r="AQ139" s="164"/>
      <c r="AR139" s="164"/>
      <c r="AS139" s="164"/>
      <c r="AT139" s="164"/>
      <c r="AU139" s="164"/>
      <c r="AV139" s="164"/>
      <c r="AW139" s="164"/>
      <c r="AX139" s="164"/>
      <c r="AY139" s="164"/>
      <c r="AZ139" s="164"/>
      <c r="BA139" s="164"/>
      <c r="BB139" s="164"/>
      <c r="BC139" s="164"/>
      <c r="BD139" s="164"/>
      <c r="BE139" s="164"/>
      <c r="BF139" s="164"/>
      <c r="BG139" s="164"/>
      <c r="BH139" s="164"/>
      <c r="BI139" s="164"/>
      <c r="BJ139" s="164"/>
    </row>
    <row r="140" spans="1:62" outlineLevel="1" x14ac:dyDescent="0.25">
      <c r="A140" s="164"/>
      <c r="B140" s="164"/>
      <c r="C140" s="164"/>
      <c r="D140" s="164"/>
      <c r="E140" s="164"/>
      <c r="F140" s="164"/>
      <c r="G140" s="164"/>
      <c r="H140" s="164"/>
      <c r="I140" s="164"/>
      <c r="J140" s="164"/>
      <c r="K140" s="164"/>
      <c r="L140" s="164"/>
      <c r="M140" s="164"/>
      <c r="N140" s="164"/>
      <c r="O140" s="164"/>
      <c r="P140" s="164"/>
      <c r="Q140" s="164"/>
      <c r="AK140" s="164"/>
      <c r="AL140" s="164"/>
      <c r="AM140" s="164"/>
      <c r="AN140" s="164"/>
      <c r="AO140" s="164"/>
      <c r="AP140" s="164"/>
      <c r="AQ140" s="164"/>
      <c r="AR140" s="164"/>
      <c r="AS140" s="164"/>
      <c r="AT140" s="164"/>
      <c r="AU140" s="164"/>
      <c r="AV140" s="164"/>
      <c r="AW140" s="164"/>
      <c r="AX140" s="164"/>
      <c r="AY140" s="164"/>
      <c r="AZ140" s="164"/>
      <c r="BA140" s="164"/>
      <c r="BB140" s="164"/>
      <c r="BC140" s="164"/>
      <c r="BD140" s="164"/>
      <c r="BE140" s="164"/>
      <c r="BF140" s="164"/>
      <c r="BG140" s="164"/>
      <c r="BH140" s="164"/>
      <c r="BI140" s="164"/>
      <c r="BJ140" s="164"/>
    </row>
    <row r="141" spans="1:62" outlineLevel="1" x14ac:dyDescent="0.25">
      <c r="A141" s="164"/>
      <c r="B141" s="164"/>
      <c r="C141" s="164"/>
      <c r="D141" s="164"/>
      <c r="E141" s="164"/>
      <c r="F141" s="164"/>
      <c r="G141" s="164"/>
      <c r="H141" s="164"/>
      <c r="I141" s="164"/>
      <c r="J141" s="164"/>
      <c r="K141" s="164"/>
      <c r="L141" s="164"/>
      <c r="M141" s="164"/>
      <c r="N141" s="164"/>
      <c r="O141" s="164"/>
      <c r="P141" s="164"/>
      <c r="Q141" s="164"/>
      <c r="AK141" s="164"/>
      <c r="AL141" s="164"/>
      <c r="AM141" s="164"/>
      <c r="AN141" s="164"/>
      <c r="AO141" s="164"/>
      <c r="AP141" s="164"/>
      <c r="AQ141" s="164"/>
      <c r="AR141" s="164"/>
      <c r="AS141" s="164"/>
      <c r="AT141" s="164"/>
      <c r="AU141" s="164"/>
      <c r="AV141" s="164"/>
      <c r="AW141" s="164"/>
      <c r="AX141" s="164"/>
      <c r="AY141" s="164"/>
      <c r="AZ141" s="164"/>
      <c r="BA141" s="164"/>
      <c r="BB141" s="164"/>
      <c r="BC141" s="164"/>
      <c r="BD141" s="164"/>
      <c r="BE141" s="164"/>
      <c r="BF141" s="164"/>
      <c r="BG141" s="164"/>
      <c r="BH141" s="164"/>
      <c r="BI141" s="164"/>
      <c r="BJ141" s="164"/>
    </row>
    <row r="142" spans="1:62" outlineLevel="1" x14ac:dyDescent="0.25">
      <c r="A142" s="164"/>
      <c r="B142" s="164"/>
      <c r="C142" s="164"/>
      <c r="D142" s="164"/>
      <c r="E142" s="164"/>
      <c r="F142" s="164"/>
      <c r="G142" s="164"/>
      <c r="H142" s="164"/>
      <c r="I142" s="164"/>
      <c r="J142" s="164"/>
      <c r="K142" s="164"/>
      <c r="L142" s="164"/>
      <c r="M142" s="164"/>
      <c r="N142" s="164"/>
      <c r="O142" s="164"/>
      <c r="P142" s="164"/>
      <c r="Q142" s="164"/>
      <c r="AK142" s="164"/>
      <c r="AL142" s="164"/>
      <c r="AM142" s="164"/>
      <c r="AN142" s="164"/>
      <c r="AO142" s="164"/>
      <c r="AP142" s="164"/>
      <c r="AQ142" s="164"/>
      <c r="AR142" s="164"/>
      <c r="AS142" s="164"/>
      <c r="AT142" s="164"/>
      <c r="AU142" s="164"/>
      <c r="AV142" s="164"/>
      <c r="AW142" s="164"/>
      <c r="AX142" s="164"/>
      <c r="AY142" s="164"/>
      <c r="AZ142" s="164"/>
      <c r="BA142" s="164"/>
      <c r="BB142" s="164"/>
      <c r="BC142" s="164"/>
      <c r="BD142" s="164"/>
      <c r="BE142" s="164"/>
      <c r="BF142" s="164"/>
      <c r="BG142" s="164"/>
      <c r="BH142" s="164"/>
      <c r="BI142" s="164"/>
      <c r="BJ142" s="164"/>
    </row>
    <row r="143" spans="1:62" x14ac:dyDescent="0.25">
      <c r="A143" s="164"/>
      <c r="B143" s="164"/>
      <c r="C143" s="164"/>
      <c r="D143" s="164"/>
      <c r="E143" s="164"/>
      <c r="F143" s="164"/>
      <c r="G143" s="164"/>
      <c r="H143" s="164"/>
      <c r="I143" s="164"/>
      <c r="J143" s="164"/>
      <c r="K143" s="164"/>
      <c r="L143" s="164"/>
      <c r="M143" s="164"/>
      <c r="N143" s="164"/>
      <c r="O143" s="164"/>
      <c r="P143" s="164"/>
      <c r="Q143" s="164"/>
      <c r="AK143" s="164"/>
      <c r="AL143" s="164"/>
      <c r="AM143" s="164"/>
      <c r="AN143" s="164"/>
      <c r="AO143" s="164"/>
      <c r="AP143" s="164"/>
      <c r="AQ143" s="164"/>
      <c r="AR143" s="164"/>
      <c r="AS143" s="164"/>
      <c r="AT143" s="164"/>
      <c r="AU143" s="164"/>
      <c r="AV143" s="164"/>
      <c r="AW143" s="164"/>
      <c r="AX143" s="164"/>
      <c r="AY143" s="164"/>
      <c r="AZ143" s="164"/>
      <c r="BA143" s="164"/>
      <c r="BB143" s="164"/>
      <c r="BC143" s="164"/>
      <c r="BD143" s="164"/>
      <c r="BE143" s="164"/>
      <c r="BF143" s="164"/>
      <c r="BG143" s="164"/>
      <c r="BH143" s="164"/>
      <c r="BI143" s="164"/>
      <c r="BJ143" s="164"/>
    </row>
    <row r="144" spans="1:62" x14ac:dyDescent="0.25">
      <c r="A144" s="164"/>
      <c r="B144" s="164"/>
      <c r="C144" s="164"/>
      <c r="D144" s="164"/>
      <c r="E144" s="164"/>
      <c r="F144" s="164"/>
      <c r="G144" s="164"/>
      <c r="H144" s="164"/>
      <c r="I144" s="164"/>
      <c r="J144" s="164"/>
      <c r="K144" s="164"/>
      <c r="L144" s="164"/>
      <c r="M144" s="164"/>
      <c r="N144" s="164"/>
      <c r="O144" s="164"/>
      <c r="P144" s="164"/>
      <c r="Q144" s="164"/>
      <c r="AK144" s="164"/>
      <c r="AL144" s="164"/>
      <c r="AM144" s="164"/>
      <c r="AN144" s="164"/>
      <c r="AO144" s="164"/>
      <c r="AP144" s="164"/>
      <c r="AQ144" s="164"/>
      <c r="AR144" s="164"/>
      <c r="AS144" s="164"/>
      <c r="AT144" s="164"/>
      <c r="AU144" s="164"/>
      <c r="AV144" s="164"/>
      <c r="AW144" s="164"/>
      <c r="AX144" s="164"/>
      <c r="AY144" s="164"/>
      <c r="AZ144" s="164"/>
      <c r="BA144" s="164"/>
      <c r="BB144" s="164"/>
      <c r="BC144" s="164"/>
      <c r="BD144" s="164"/>
      <c r="BE144" s="164"/>
      <c r="BF144" s="164"/>
      <c r="BG144" s="164"/>
      <c r="BH144" s="164"/>
      <c r="BI144" s="164"/>
      <c r="BJ144" s="164"/>
    </row>
    <row r="145" spans="1:62" x14ac:dyDescent="0.25">
      <c r="A145" s="164"/>
      <c r="B145" s="164"/>
      <c r="C145" s="164"/>
      <c r="D145" s="164"/>
      <c r="E145" s="164"/>
      <c r="F145" s="164"/>
      <c r="G145" s="164"/>
      <c r="H145" s="164"/>
      <c r="I145" s="164"/>
      <c r="J145" s="164"/>
      <c r="K145" s="164"/>
      <c r="L145" s="164"/>
      <c r="M145" s="164"/>
      <c r="N145" s="164"/>
      <c r="O145" s="164"/>
      <c r="P145" s="164"/>
      <c r="Q145" s="164"/>
      <c r="AK145" s="164"/>
      <c r="AL145" s="164"/>
      <c r="AM145" s="164"/>
      <c r="AN145" s="164"/>
      <c r="AO145" s="164"/>
      <c r="AP145" s="164"/>
      <c r="AQ145" s="164"/>
      <c r="AR145" s="164"/>
      <c r="AS145" s="164"/>
      <c r="AT145" s="164"/>
      <c r="AU145" s="164"/>
      <c r="AV145" s="164"/>
      <c r="AW145" s="164"/>
      <c r="AX145" s="164"/>
      <c r="AY145" s="164"/>
      <c r="AZ145" s="164"/>
      <c r="BA145" s="164"/>
      <c r="BB145" s="164"/>
      <c r="BC145" s="164"/>
      <c r="BD145" s="164"/>
      <c r="BE145" s="164"/>
      <c r="BF145" s="164"/>
      <c r="BG145" s="164"/>
      <c r="BH145" s="164"/>
      <c r="BI145" s="164"/>
      <c r="BJ145" s="164"/>
    </row>
    <row r="146" spans="1:62" x14ac:dyDescent="0.25">
      <c r="A146" s="164"/>
      <c r="B146" s="164"/>
      <c r="C146" s="164"/>
      <c r="D146" s="164"/>
      <c r="E146" s="164"/>
      <c r="F146" s="164"/>
      <c r="G146" s="164"/>
      <c r="H146" s="164"/>
      <c r="I146" s="164"/>
      <c r="J146" s="164"/>
      <c r="K146" s="164"/>
      <c r="L146" s="164"/>
      <c r="M146" s="164"/>
      <c r="N146" s="164"/>
      <c r="O146" s="164"/>
      <c r="P146" s="164"/>
      <c r="Q146" s="164"/>
      <c r="AK146" s="164"/>
      <c r="AL146" s="164"/>
      <c r="AM146" s="164"/>
      <c r="AN146" s="164"/>
      <c r="AO146" s="164"/>
      <c r="AP146" s="164"/>
      <c r="AQ146" s="164"/>
      <c r="AR146" s="164"/>
      <c r="AS146" s="164"/>
      <c r="AT146" s="164"/>
      <c r="AU146" s="164"/>
      <c r="AV146" s="164"/>
      <c r="AW146" s="164"/>
      <c r="AX146" s="164"/>
      <c r="AY146" s="164"/>
      <c r="AZ146" s="164"/>
      <c r="BA146" s="164"/>
      <c r="BB146" s="164"/>
      <c r="BC146" s="164"/>
      <c r="BD146" s="164"/>
      <c r="BE146" s="164"/>
      <c r="BF146" s="164"/>
      <c r="BG146" s="164"/>
      <c r="BH146" s="164"/>
      <c r="BI146" s="164"/>
      <c r="BJ146" s="164"/>
    </row>
    <row r="147" spans="1:62" x14ac:dyDescent="0.25">
      <c r="A147" s="164"/>
      <c r="B147" s="164"/>
      <c r="C147" s="164"/>
      <c r="D147" s="164"/>
      <c r="E147" s="164"/>
      <c r="F147" s="164"/>
      <c r="G147" s="164"/>
      <c r="H147" s="164"/>
      <c r="I147" s="164"/>
      <c r="J147" s="164"/>
      <c r="K147" s="164"/>
      <c r="L147" s="164"/>
      <c r="M147" s="164"/>
      <c r="N147" s="164"/>
      <c r="O147" s="164"/>
      <c r="P147" s="164"/>
      <c r="Q147" s="164"/>
      <c r="AK147" s="164"/>
      <c r="AL147" s="164"/>
      <c r="AM147" s="164"/>
      <c r="AN147" s="164"/>
      <c r="AO147" s="164"/>
      <c r="AP147" s="164"/>
      <c r="AQ147" s="164"/>
      <c r="AR147" s="164"/>
      <c r="AS147" s="164"/>
      <c r="AT147" s="164"/>
      <c r="AU147" s="164"/>
      <c r="AV147" s="164"/>
      <c r="AW147" s="164"/>
      <c r="AX147" s="164"/>
      <c r="AY147" s="164"/>
      <c r="AZ147" s="164"/>
      <c r="BA147" s="164"/>
      <c r="BB147" s="164"/>
      <c r="BC147" s="164"/>
      <c r="BD147" s="164"/>
      <c r="BE147" s="164"/>
      <c r="BF147" s="164"/>
      <c r="BG147" s="164"/>
      <c r="BH147" s="164"/>
      <c r="BI147" s="164"/>
      <c r="BJ147" s="164"/>
    </row>
    <row r="148" spans="1:62" x14ac:dyDescent="0.25">
      <c r="A148" s="164"/>
      <c r="B148" s="164"/>
      <c r="C148" s="164"/>
      <c r="D148" s="164"/>
      <c r="E148" s="164"/>
      <c r="F148" s="164"/>
      <c r="G148" s="164"/>
      <c r="H148" s="164"/>
      <c r="I148" s="164"/>
      <c r="J148" s="164"/>
      <c r="K148" s="164"/>
      <c r="L148" s="164"/>
      <c r="M148" s="164"/>
      <c r="N148" s="164"/>
      <c r="O148" s="164"/>
      <c r="P148" s="164"/>
      <c r="Q148" s="164"/>
      <c r="AK148" s="164"/>
      <c r="AL148" s="164"/>
      <c r="AM148" s="164"/>
      <c r="AN148" s="164"/>
      <c r="AO148" s="164"/>
      <c r="AP148" s="164"/>
      <c r="AQ148" s="164"/>
      <c r="AR148" s="164"/>
      <c r="AS148" s="164"/>
      <c r="AT148" s="164"/>
      <c r="AU148" s="164"/>
      <c r="AV148" s="164"/>
      <c r="AW148" s="164"/>
      <c r="AX148" s="164"/>
      <c r="AY148" s="164"/>
      <c r="AZ148" s="164"/>
      <c r="BA148" s="164"/>
      <c r="BB148" s="164"/>
      <c r="BC148" s="164"/>
      <c r="BD148" s="164"/>
      <c r="BE148" s="164"/>
      <c r="BF148" s="164"/>
      <c r="BG148" s="164"/>
      <c r="BH148" s="164"/>
      <c r="BI148" s="164"/>
      <c r="BJ148" s="164"/>
    </row>
    <row r="149" spans="1:62" x14ac:dyDescent="0.25">
      <c r="A149" s="164"/>
      <c r="B149" s="164"/>
      <c r="C149" s="164"/>
      <c r="D149" s="164"/>
      <c r="E149" s="164"/>
      <c r="F149" s="164"/>
      <c r="G149" s="164"/>
      <c r="H149" s="164"/>
      <c r="I149" s="164"/>
      <c r="J149" s="164"/>
      <c r="K149" s="164"/>
      <c r="L149" s="164"/>
      <c r="M149" s="164"/>
      <c r="N149" s="164"/>
      <c r="O149" s="164"/>
      <c r="P149" s="164"/>
      <c r="Q149" s="164"/>
      <c r="AK149" s="164"/>
      <c r="AL149" s="164"/>
      <c r="AM149" s="164"/>
      <c r="AN149" s="164"/>
      <c r="AO149" s="164"/>
      <c r="AP149" s="164"/>
      <c r="AQ149" s="164"/>
      <c r="AR149" s="164"/>
      <c r="AS149" s="164"/>
      <c r="AT149" s="164"/>
      <c r="AU149" s="164"/>
      <c r="AV149" s="164"/>
      <c r="AW149" s="164"/>
      <c r="AX149" s="164"/>
      <c r="AY149" s="164"/>
      <c r="AZ149" s="164"/>
      <c r="BA149" s="164"/>
      <c r="BB149" s="164"/>
      <c r="BC149" s="164"/>
      <c r="BD149" s="164"/>
      <c r="BE149" s="164"/>
      <c r="BF149" s="164"/>
      <c r="BG149" s="164"/>
      <c r="BH149" s="164"/>
      <c r="BI149" s="164"/>
      <c r="BJ149" s="164"/>
    </row>
    <row r="150" spans="1:62" x14ac:dyDescent="0.25">
      <c r="A150" s="164"/>
      <c r="B150" s="164"/>
      <c r="C150" s="164"/>
      <c r="D150" s="164"/>
      <c r="E150" s="164"/>
      <c r="F150" s="164"/>
      <c r="G150" s="164"/>
      <c r="H150" s="164"/>
      <c r="I150" s="164"/>
      <c r="J150" s="164"/>
      <c r="K150" s="164"/>
      <c r="L150" s="164"/>
      <c r="M150" s="164"/>
      <c r="N150" s="164"/>
      <c r="O150" s="164"/>
      <c r="P150" s="164"/>
      <c r="Q150" s="164"/>
      <c r="AK150" s="164"/>
      <c r="AL150" s="164"/>
      <c r="AM150" s="164"/>
      <c r="AN150" s="164"/>
      <c r="AO150" s="164"/>
      <c r="AP150" s="164"/>
      <c r="AQ150" s="164"/>
      <c r="AR150" s="164"/>
      <c r="AS150" s="164"/>
      <c r="AT150" s="164"/>
      <c r="AU150" s="164"/>
      <c r="AV150" s="164"/>
      <c r="AW150" s="164"/>
      <c r="AX150" s="164"/>
      <c r="AY150" s="164"/>
      <c r="AZ150" s="164"/>
      <c r="BA150" s="164"/>
      <c r="BB150" s="164"/>
      <c r="BC150" s="164"/>
      <c r="BD150" s="164"/>
      <c r="BE150" s="164"/>
      <c r="BF150" s="164"/>
      <c r="BG150" s="164"/>
      <c r="BH150" s="164"/>
      <c r="BI150" s="164"/>
      <c r="BJ150" s="164"/>
    </row>
    <row r="151" spans="1:62" x14ac:dyDescent="0.25">
      <c r="A151" s="164"/>
      <c r="B151" s="164"/>
      <c r="C151" s="164"/>
      <c r="D151" s="164"/>
      <c r="E151" s="164"/>
      <c r="F151" s="164"/>
      <c r="G151" s="164"/>
      <c r="H151" s="164"/>
      <c r="I151" s="164"/>
      <c r="J151" s="164"/>
      <c r="K151" s="164"/>
      <c r="L151" s="164"/>
      <c r="M151" s="164"/>
      <c r="N151" s="164"/>
      <c r="O151" s="164"/>
      <c r="P151" s="164"/>
      <c r="Q151" s="164"/>
      <c r="AK151" s="164"/>
      <c r="AL151" s="164"/>
      <c r="AM151" s="164"/>
      <c r="AN151" s="164"/>
      <c r="AO151" s="164"/>
      <c r="AP151" s="164"/>
      <c r="AQ151" s="164"/>
      <c r="AR151" s="164"/>
      <c r="AS151" s="164"/>
      <c r="AT151" s="164"/>
      <c r="AU151" s="164"/>
      <c r="AV151" s="164"/>
      <c r="AW151" s="164"/>
      <c r="AX151" s="164"/>
      <c r="AY151" s="164"/>
      <c r="AZ151" s="164"/>
    </row>
    <row r="152" spans="1:62" x14ac:dyDescent="0.25">
      <c r="A152" s="164"/>
      <c r="B152" s="164"/>
      <c r="C152" s="164"/>
      <c r="D152" s="164"/>
      <c r="E152" s="164"/>
      <c r="F152" s="164"/>
      <c r="G152" s="164"/>
      <c r="H152" s="164"/>
      <c r="I152" s="164"/>
      <c r="J152" s="164"/>
      <c r="K152" s="164"/>
      <c r="L152" s="164"/>
      <c r="M152" s="164"/>
      <c r="N152" s="164"/>
      <c r="O152" s="164"/>
      <c r="P152" s="164"/>
      <c r="Q152" s="164"/>
      <c r="AK152" s="164"/>
      <c r="AL152" s="164"/>
      <c r="AM152" s="164"/>
      <c r="AN152" s="164"/>
      <c r="AO152" s="164"/>
      <c r="AP152" s="164"/>
      <c r="AQ152" s="164"/>
      <c r="AR152" s="164"/>
      <c r="AS152" s="164"/>
      <c r="AT152" s="164"/>
      <c r="AU152" s="164"/>
      <c r="AV152" s="164"/>
      <c r="AW152" s="164"/>
      <c r="AX152" s="164"/>
      <c r="AY152" s="164"/>
      <c r="AZ152" s="164"/>
    </row>
  </sheetData>
  <sheetProtection sheet="1" objects="1" scenarios="1"/>
  <mergeCells count="15">
    <mergeCell ref="E4:F4"/>
    <mergeCell ref="F61:K61"/>
    <mergeCell ref="H8:J8"/>
    <mergeCell ref="I45:K45"/>
    <mergeCell ref="G46:H46"/>
    <mergeCell ref="G45:H45"/>
    <mergeCell ref="G47:H47"/>
    <mergeCell ref="G65:H65"/>
    <mergeCell ref="J63:K63"/>
    <mergeCell ref="J64:K64"/>
    <mergeCell ref="J65:K65"/>
    <mergeCell ref="I62:K62"/>
    <mergeCell ref="F62:H62"/>
    <mergeCell ref="G63:H63"/>
    <mergeCell ref="G64:H64"/>
  </mergeCells>
  <pageMargins left="0.7" right="0.7" top="0.75" bottom="0.75" header="0.3" footer="0.3"/>
  <pageSetup scale="46"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topLeftCell="A10" workbookViewId="0">
      <selection activeCell="L50" sqref="L50"/>
    </sheetView>
  </sheetViews>
  <sheetFormatPr defaultRowHeight="15" x14ac:dyDescent="0.25"/>
  <cols>
    <col min="1" max="1" width="4.7109375" customWidth="1"/>
  </cols>
  <sheetData/>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3"/>
  <sheetViews>
    <sheetView workbookViewId="0">
      <selection activeCell="D26" sqref="D26"/>
    </sheetView>
  </sheetViews>
  <sheetFormatPr defaultRowHeight="15" x14ac:dyDescent="0.25"/>
  <cols>
    <col min="1" max="2" width="2.28515625" customWidth="1"/>
    <col min="3" max="3" width="9.140625" customWidth="1"/>
    <col min="5" max="5" width="15.42578125" customWidth="1"/>
    <col min="6" max="6" width="11.42578125" customWidth="1"/>
    <col min="7" max="8" width="2.28515625" customWidth="1"/>
    <col min="9" max="10" width="17.7109375" customWidth="1"/>
    <col min="11" max="12" width="2.28515625" customWidth="1"/>
    <col min="13" max="14" width="17.7109375" customWidth="1"/>
    <col min="15" max="16" width="2.28515625" customWidth="1"/>
    <col min="17" max="17" width="12.28515625" customWidth="1"/>
    <col min="18" max="18" width="3.7109375" customWidth="1"/>
    <col min="19" max="19" width="19.140625" customWidth="1"/>
    <col min="20" max="20" width="3.7109375" customWidth="1"/>
    <col min="21" max="21" width="10.42578125" bestFit="1" customWidth="1"/>
    <col min="22" max="22" width="5.85546875" customWidth="1"/>
    <col min="23" max="24" width="2.28515625" customWidth="1"/>
  </cols>
  <sheetData>
    <row r="1" spans="1:24" x14ac:dyDescent="0.25">
      <c r="B1" s="92" t="s">
        <v>123</v>
      </c>
      <c r="C1" s="26"/>
      <c r="D1" s="26"/>
      <c r="E1" s="26"/>
      <c r="F1" s="26"/>
      <c r="G1" s="26"/>
      <c r="H1" s="26"/>
      <c r="I1" s="26"/>
      <c r="J1" s="26"/>
      <c r="K1" s="26"/>
      <c r="L1" s="26"/>
      <c r="M1" s="26"/>
      <c r="N1" s="26"/>
      <c r="O1" s="26"/>
      <c r="P1" s="26"/>
      <c r="Q1" s="26"/>
      <c r="R1" s="26"/>
      <c r="S1" s="26"/>
      <c r="T1" s="26"/>
      <c r="U1" s="26"/>
      <c r="V1" s="26"/>
      <c r="W1" s="26"/>
    </row>
    <row r="2" spans="1:24" x14ac:dyDescent="0.25">
      <c r="B2" s="77" t="s">
        <v>124</v>
      </c>
      <c r="C2" s="26"/>
      <c r="D2" s="26"/>
      <c r="E2" s="26"/>
      <c r="F2" s="26"/>
      <c r="G2" s="26"/>
      <c r="H2" s="26"/>
      <c r="I2" s="26"/>
      <c r="J2" s="26"/>
      <c r="K2" s="26"/>
      <c r="L2" s="26"/>
      <c r="M2" s="26"/>
      <c r="N2" s="26"/>
      <c r="O2" s="26"/>
      <c r="P2" s="26"/>
      <c r="Q2" s="26"/>
      <c r="R2" s="26"/>
      <c r="S2" s="26"/>
      <c r="T2" s="26"/>
      <c r="U2" s="26"/>
      <c r="V2" s="26"/>
      <c r="W2" s="26"/>
    </row>
    <row r="3" spans="1:24" ht="15.75" thickBot="1" x14ac:dyDescent="0.3"/>
    <row r="4" spans="1:24" x14ac:dyDescent="0.25">
      <c r="A4" s="77"/>
      <c r="B4" s="27"/>
      <c r="C4" s="78" t="s">
        <v>125</v>
      </c>
      <c r="D4" s="79"/>
      <c r="E4" s="79"/>
      <c r="F4" s="79"/>
      <c r="G4" s="80" t="s">
        <v>22</v>
      </c>
      <c r="H4" s="27"/>
      <c r="I4" s="78" t="s">
        <v>126</v>
      </c>
      <c r="J4" s="79"/>
      <c r="K4" s="28"/>
      <c r="L4" s="27"/>
      <c r="M4" s="78" t="s">
        <v>127</v>
      </c>
      <c r="N4" s="79"/>
      <c r="O4" s="28"/>
      <c r="P4" s="27"/>
      <c r="Q4" s="78" t="s">
        <v>128</v>
      </c>
      <c r="R4" s="79"/>
      <c r="S4" s="79"/>
      <c r="T4" s="79"/>
      <c r="U4" s="79"/>
      <c r="V4" s="79"/>
      <c r="W4" s="34"/>
      <c r="X4" s="38"/>
    </row>
    <row r="5" spans="1:24" x14ac:dyDescent="0.25">
      <c r="B5" s="38"/>
      <c r="H5" s="38"/>
      <c r="L5" s="38"/>
      <c r="M5" s="81" t="s">
        <v>129</v>
      </c>
      <c r="N5" s="26"/>
      <c r="P5" s="38"/>
      <c r="W5" s="35"/>
      <c r="X5" s="38"/>
    </row>
    <row r="6" spans="1:24" x14ac:dyDescent="0.25">
      <c r="B6" s="38"/>
      <c r="H6" s="38"/>
      <c r="L6" s="38"/>
      <c r="P6" s="38"/>
      <c r="W6" s="35"/>
      <c r="X6" s="38"/>
    </row>
    <row r="7" spans="1:24" x14ac:dyDescent="0.25">
      <c r="B7" s="38"/>
      <c r="C7" t="s">
        <v>130</v>
      </c>
      <c r="H7" s="38"/>
      <c r="I7" t="s">
        <v>131</v>
      </c>
      <c r="L7" s="38"/>
      <c r="M7" t="s">
        <v>132</v>
      </c>
      <c r="P7" s="38"/>
      <c r="Q7" t="s">
        <v>133</v>
      </c>
      <c r="W7" s="35"/>
      <c r="X7" s="38"/>
    </row>
    <row r="8" spans="1:24" x14ac:dyDescent="0.25">
      <c r="A8" s="74"/>
      <c r="B8" s="38"/>
      <c r="C8" s="74" t="s">
        <v>134</v>
      </c>
      <c r="F8" s="74">
        <v>5500</v>
      </c>
      <c r="G8" s="74"/>
      <c r="H8" s="38"/>
      <c r="I8" s="73" t="s">
        <v>135</v>
      </c>
      <c r="J8" s="155" t="s">
        <v>136</v>
      </c>
      <c r="L8" s="38"/>
      <c r="M8" s="73" t="s">
        <v>137</v>
      </c>
      <c r="N8" s="155" t="s">
        <v>138</v>
      </c>
      <c r="P8" s="38"/>
      <c r="Q8" s="72" t="s">
        <v>139</v>
      </c>
      <c r="W8" s="35"/>
      <c r="X8" s="38"/>
    </row>
    <row r="9" spans="1:24" x14ac:dyDescent="0.25">
      <c r="A9" s="74"/>
      <c r="B9" s="38"/>
      <c r="C9" s="74" t="s">
        <v>140</v>
      </c>
      <c r="F9" s="74">
        <v>2400</v>
      </c>
      <c r="G9" s="74"/>
      <c r="H9" s="38"/>
      <c r="I9" s="24">
        <f>INDEX('Tap Calculator'!G120:G122,MATCH(F9,'Tap Calculator'!C120:C122,1))</f>
        <v>80520</v>
      </c>
      <c r="J9" s="82">
        <f>ROUND(I9/'Tap Calculator'!$P$125,2)</f>
        <v>0.25</v>
      </c>
      <c r="L9" s="38"/>
      <c r="M9" s="24">
        <f>INDEX('Tap Calculator'!J120:J122,MATCH(F9,'Tap Calculator'!C120:C122,1))</f>
        <v>64416</v>
      </c>
      <c r="N9" s="82">
        <f>ROUND(M9/'Tap Calculator'!$P$125,2)</f>
        <v>0.2</v>
      </c>
      <c r="P9" s="38"/>
      <c r="Q9" s="83">
        <f>N13</f>
        <v>0.32</v>
      </c>
      <c r="R9" s="84" t="s">
        <v>141</v>
      </c>
      <c r="S9" s="85">
        <f>'Tap Calculator'!AB120</f>
        <v>49712.5</v>
      </c>
      <c r="T9" s="24" t="s">
        <v>142</v>
      </c>
      <c r="U9" s="86">
        <f>ROUND(Q9*S9,0)</f>
        <v>15908</v>
      </c>
      <c r="W9" s="35"/>
      <c r="X9" s="38"/>
    </row>
    <row r="10" spans="1:24" x14ac:dyDescent="0.25">
      <c r="B10" s="38"/>
      <c r="H10" s="38"/>
      <c r="L10" s="38"/>
      <c r="P10" s="38"/>
      <c r="W10" s="35"/>
      <c r="X10" s="38"/>
    </row>
    <row r="11" spans="1:24" x14ac:dyDescent="0.25">
      <c r="B11" s="38"/>
      <c r="C11" t="s">
        <v>143</v>
      </c>
      <c r="H11" s="38"/>
      <c r="I11" t="s">
        <v>144</v>
      </c>
      <c r="L11" s="38"/>
      <c r="M11" t="s">
        <v>145</v>
      </c>
      <c r="P11" s="38"/>
      <c r="Q11" t="s">
        <v>146</v>
      </c>
      <c r="W11" s="35"/>
      <c r="X11" s="38"/>
    </row>
    <row r="12" spans="1:24" x14ac:dyDescent="0.25">
      <c r="A12" s="74"/>
      <c r="B12" s="38"/>
      <c r="C12" s="74" t="s">
        <v>147</v>
      </c>
      <c r="F12" s="74">
        <v>1400</v>
      </c>
      <c r="G12" s="74"/>
      <c r="H12" s="38"/>
      <c r="I12" s="73" t="s">
        <v>148</v>
      </c>
      <c r="J12" s="155" t="s">
        <v>138</v>
      </c>
      <c r="L12" s="38"/>
      <c r="M12" s="73" t="s">
        <v>98</v>
      </c>
      <c r="N12" s="155" t="s">
        <v>138</v>
      </c>
      <c r="P12" s="38"/>
      <c r="Q12" s="72" t="s">
        <v>149</v>
      </c>
      <c r="W12" s="35"/>
      <c r="X12" s="38"/>
    </row>
    <row r="13" spans="1:24" x14ac:dyDescent="0.25">
      <c r="A13" s="76"/>
      <c r="B13" s="38"/>
      <c r="C13" s="76" t="s">
        <v>150</v>
      </c>
      <c r="F13" s="76">
        <v>2</v>
      </c>
      <c r="G13" s="76"/>
      <c r="H13" s="38"/>
      <c r="I13" s="40">
        <f>((F17*F15)/1000*'Tap Calculator'!P121+(F18*F15)/1000*'Tap Calculator'!P120)*366</f>
        <v>38052.288000000008</v>
      </c>
      <c r="J13" s="82">
        <f>ROUND(I13/'Tap Calculator'!P$125,2)</f>
        <v>0.12</v>
      </c>
      <c r="L13" s="38"/>
      <c r="M13" s="40">
        <f>M9+I13</f>
        <v>102468.288</v>
      </c>
      <c r="N13" s="82">
        <f>N9+J13</f>
        <v>0.32</v>
      </c>
      <c r="P13" s="38"/>
      <c r="Q13" s="87">
        <f>M18</f>
        <v>0.44</v>
      </c>
      <c r="R13" s="84" t="s">
        <v>141</v>
      </c>
      <c r="S13" s="88">
        <f>'Tap Calculator'!AC120</f>
        <v>10890.909090909092</v>
      </c>
      <c r="T13" s="24" t="s">
        <v>142</v>
      </c>
      <c r="U13" s="86">
        <f>ROUND(Q13*S13,0)</f>
        <v>4792</v>
      </c>
      <c r="W13" s="35"/>
      <c r="X13" s="38"/>
    </row>
    <row r="14" spans="1:24" x14ac:dyDescent="0.25">
      <c r="B14" s="38"/>
      <c r="H14" s="38"/>
      <c r="L14" s="38"/>
      <c r="P14" s="38"/>
      <c r="W14" s="35"/>
      <c r="X14" s="38"/>
    </row>
    <row r="15" spans="1:24" x14ac:dyDescent="0.25">
      <c r="A15" s="74"/>
      <c r="B15" s="38"/>
      <c r="C15" s="74" t="s">
        <v>151</v>
      </c>
      <c r="F15" s="74">
        <f>F8-F12-IF(F13=3,1040,680)</f>
        <v>3420</v>
      </c>
      <c r="G15" s="74"/>
      <c r="H15" s="38"/>
      <c r="I15" t="s">
        <v>152</v>
      </c>
      <c r="L15" s="38"/>
      <c r="M15" t="s">
        <v>153</v>
      </c>
      <c r="P15" s="38"/>
      <c r="Q15" t="s">
        <v>154</v>
      </c>
      <c r="W15" s="35"/>
      <c r="X15" s="38"/>
    </row>
    <row r="16" spans="1:24" x14ac:dyDescent="0.25">
      <c r="A16" s="63"/>
      <c r="B16" s="38"/>
      <c r="C16" s="63" t="s">
        <v>155</v>
      </c>
      <c r="F16" s="63">
        <v>0.18</v>
      </c>
      <c r="G16" s="63"/>
      <c r="H16" s="38"/>
      <c r="I16" s="73" t="s">
        <v>98</v>
      </c>
      <c r="J16" s="155" t="s">
        <v>138</v>
      </c>
      <c r="L16" s="38"/>
      <c r="M16" s="24" t="s">
        <v>89</v>
      </c>
      <c r="N16" s="24" t="s">
        <v>156</v>
      </c>
      <c r="P16" s="38"/>
      <c r="Q16" s="89" t="s">
        <v>76</v>
      </c>
      <c r="R16" s="24">
        <v>1</v>
      </c>
      <c r="S16" s="90">
        <v>800</v>
      </c>
      <c r="T16" s="24" t="s">
        <v>142</v>
      </c>
      <c r="U16" s="86">
        <f>S16</f>
        <v>800</v>
      </c>
      <c r="W16" s="35"/>
      <c r="X16" s="38"/>
    </row>
    <row r="17" spans="1:24" x14ac:dyDescent="0.25">
      <c r="A17" s="63"/>
      <c r="B17" s="38"/>
      <c r="C17" s="63" t="s">
        <v>157</v>
      </c>
      <c r="F17" s="63">
        <v>0.47</v>
      </c>
      <c r="G17" s="63"/>
      <c r="H17" s="38"/>
      <c r="I17" s="40">
        <f>ROUND(I13+I9,0)</f>
        <v>118572</v>
      </c>
      <c r="J17" s="82">
        <f>J13+J9</f>
        <v>0.37</v>
      </c>
      <c r="L17" s="38"/>
      <c r="M17" s="155" t="s">
        <v>158</v>
      </c>
      <c r="N17" s="155" t="s">
        <v>159</v>
      </c>
      <c r="P17" s="38"/>
      <c r="W17" s="35"/>
      <c r="X17" s="38"/>
    </row>
    <row r="18" spans="1:24" x14ac:dyDescent="0.25">
      <c r="A18" s="75"/>
      <c r="B18" s="38"/>
      <c r="C18" s="75" t="s">
        <v>160</v>
      </c>
      <c r="F18" s="75">
        <f>1-F17-F16</f>
        <v>0.35000000000000003</v>
      </c>
      <c r="G18" s="75"/>
      <c r="H18" s="38"/>
      <c r="L18" s="38"/>
      <c r="M18" s="82">
        <f>ROUND(M13/366/1440*2.25,2)</f>
        <v>0.44</v>
      </c>
      <c r="N18" s="24">
        <v>1500</v>
      </c>
      <c r="P18" s="38"/>
      <c r="Q18" t="s">
        <v>161</v>
      </c>
      <c r="T18" s="24" t="s">
        <v>142</v>
      </c>
      <c r="U18" s="86">
        <f>U16+U13+U9</f>
        <v>21500</v>
      </c>
      <c r="W18" s="35"/>
      <c r="X18" s="38"/>
    </row>
    <row r="19" spans="1:24" x14ac:dyDescent="0.25">
      <c r="B19" s="38"/>
      <c r="H19" s="38"/>
      <c r="L19" s="38"/>
      <c r="P19" s="38"/>
      <c r="W19" s="35"/>
      <c r="X19" s="38"/>
    </row>
    <row r="20" spans="1:24" x14ac:dyDescent="0.25">
      <c r="B20" s="38"/>
      <c r="C20" t="s">
        <v>162</v>
      </c>
      <c r="H20" s="38"/>
      <c r="L20" s="38"/>
      <c r="M20" t="s">
        <v>163</v>
      </c>
      <c r="P20" s="38"/>
      <c r="Q20" t="s">
        <v>164</v>
      </c>
      <c r="W20" s="35"/>
      <c r="X20" s="38"/>
    </row>
    <row r="21" spans="1:24" x14ac:dyDescent="0.25">
      <c r="A21" s="74"/>
      <c r="B21" s="38"/>
      <c r="C21" s="74" t="s">
        <v>165</v>
      </c>
      <c r="F21" s="74">
        <f>F9+1000</f>
        <v>3400</v>
      </c>
      <c r="G21" s="74"/>
      <c r="H21" s="38"/>
      <c r="L21" s="38"/>
      <c r="M21" s="347" t="s">
        <v>166</v>
      </c>
      <c r="N21" s="347"/>
      <c r="P21" s="38"/>
      <c r="Q21" s="72" t="s">
        <v>167</v>
      </c>
      <c r="W21" s="35"/>
      <c r="X21" s="38"/>
    </row>
    <row r="22" spans="1:24" x14ac:dyDescent="0.25">
      <c r="B22" s="38"/>
      <c r="H22" s="38"/>
      <c r="L22" s="38"/>
      <c r="M22" s="348" t="s">
        <v>168</v>
      </c>
      <c r="N22" s="348"/>
      <c r="P22" s="38"/>
      <c r="Q22" s="91">
        <f>M23</f>
        <v>176</v>
      </c>
      <c r="R22" s="84" t="s">
        <v>141</v>
      </c>
      <c r="S22" s="88">
        <f>'Tap Calculator'!AJ118</f>
        <v>27.460227272727273</v>
      </c>
      <c r="T22" s="24" t="s">
        <v>142</v>
      </c>
      <c r="U22" s="86">
        <f>ROUND(Q22*S22,0)</f>
        <v>4833</v>
      </c>
      <c r="W22" s="35"/>
      <c r="X22" s="38"/>
    </row>
    <row r="23" spans="1:24" x14ac:dyDescent="0.25">
      <c r="B23" s="38"/>
      <c r="H23" s="38"/>
      <c r="L23" s="38"/>
      <c r="M23" s="349">
        <f>ROUND(M9/366,0)</f>
        <v>176</v>
      </c>
      <c r="N23" s="349"/>
      <c r="P23" s="38"/>
      <c r="W23" s="35"/>
      <c r="X23" s="38"/>
    </row>
    <row r="24" spans="1:24" ht="15.75" thickBot="1" x14ac:dyDescent="0.3">
      <c r="B24" s="36"/>
      <c r="C24" s="32"/>
      <c r="D24" s="32"/>
      <c r="E24" s="32"/>
      <c r="F24" s="32"/>
      <c r="G24" s="32"/>
      <c r="H24" s="36"/>
      <c r="I24" s="32"/>
      <c r="J24" s="32"/>
      <c r="K24" s="32"/>
      <c r="L24" s="36"/>
      <c r="M24" s="32"/>
      <c r="N24" s="32"/>
      <c r="O24" s="32"/>
      <c r="P24" s="36"/>
      <c r="Q24" s="32" t="s">
        <v>169</v>
      </c>
      <c r="R24" s="32"/>
      <c r="S24" s="32"/>
      <c r="T24" s="31" t="s">
        <v>142</v>
      </c>
      <c r="U24" s="93">
        <f>U22+U18</f>
        <v>26333</v>
      </c>
      <c r="V24" s="32"/>
      <c r="W24" s="37"/>
      <c r="X24" s="38"/>
    </row>
    <row r="25" spans="1:24" x14ac:dyDescent="0.25">
      <c r="B25" s="28"/>
      <c r="C25" s="28"/>
      <c r="D25" s="28"/>
      <c r="E25" s="28"/>
      <c r="F25" s="28"/>
      <c r="G25" s="28"/>
      <c r="H25" s="28"/>
      <c r="I25" s="28"/>
      <c r="J25" s="28"/>
      <c r="K25" s="28"/>
      <c r="L25" s="28"/>
      <c r="M25" s="28"/>
      <c r="N25" s="28"/>
      <c r="O25" s="28"/>
      <c r="P25" s="28"/>
      <c r="Q25" s="28"/>
      <c r="R25" s="28"/>
      <c r="S25" s="28"/>
      <c r="T25" s="28"/>
      <c r="U25" s="28"/>
      <c r="V25" s="28"/>
      <c r="W25" s="28"/>
    </row>
    <row r="26" spans="1:24" x14ac:dyDescent="0.25">
      <c r="C26" t="s">
        <v>45</v>
      </c>
    </row>
    <row r="27" spans="1:24" x14ac:dyDescent="0.25">
      <c r="C27" s="72" t="s">
        <v>170</v>
      </c>
    </row>
    <row r="28" spans="1:24" x14ac:dyDescent="0.25">
      <c r="C28" s="72" t="s">
        <v>171</v>
      </c>
    </row>
    <row r="29" spans="1:24" x14ac:dyDescent="0.25">
      <c r="C29" s="72" t="s">
        <v>172</v>
      </c>
    </row>
    <row r="30" spans="1:24" x14ac:dyDescent="0.25">
      <c r="C30" s="72" t="s">
        <v>173</v>
      </c>
    </row>
    <row r="31" spans="1:24" x14ac:dyDescent="0.25">
      <c r="C31" s="72" t="s">
        <v>174</v>
      </c>
    </row>
    <row r="32" spans="1:24" x14ac:dyDescent="0.25">
      <c r="C32" s="72" t="s">
        <v>175</v>
      </c>
    </row>
    <row r="33" spans="3:4" x14ac:dyDescent="0.25">
      <c r="C33" s="72" t="s">
        <v>176</v>
      </c>
    </row>
    <row r="34" spans="3:4" x14ac:dyDescent="0.25">
      <c r="C34" s="72" t="s">
        <v>177</v>
      </c>
    </row>
    <row r="35" spans="3:4" x14ac:dyDescent="0.25">
      <c r="C35" s="72" t="s">
        <v>178</v>
      </c>
    </row>
    <row r="36" spans="3:4" x14ac:dyDescent="0.25">
      <c r="C36" s="72" t="s">
        <v>179</v>
      </c>
    </row>
    <row r="37" spans="3:4" x14ac:dyDescent="0.25">
      <c r="C37" s="72" t="s">
        <v>180</v>
      </c>
    </row>
    <row r="38" spans="3:4" x14ac:dyDescent="0.25">
      <c r="C38" s="72" t="s">
        <v>181</v>
      </c>
    </row>
    <row r="39" spans="3:4" x14ac:dyDescent="0.25">
      <c r="C39" s="72" t="s">
        <v>182</v>
      </c>
    </row>
    <row r="43" spans="3:4" x14ac:dyDescent="0.25">
      <c r="C43" s="8" t="s">
        <v>13</v>
      </c>
      <c r="D43">
        <f>N13/0.4</f>
        <v>0.79999999999999993</v>
      </c>
    </row>
  </sheetData>
  <mergeCells count="3">
    <mergeCell ref="M21:N21"/>
    <mergeCell ref="M22:N22"/>
    <mergeCell ref="M23:N23"/>
  </mergeCells>
  <printOptions horizontalCentered="1"/>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T76"/>
  <sheetViews>
    <sheetView topLeftCell="D37" workbookViewId="0">
      <selection activeCell="U65" sqref="U65"/>
    </sheetView>
  </sheetViews>
  <sheetFormatPr defaultRowHeight="15" x14ac:dyDescent="0.25"/>
  <cols>
    <col min="1" max="1" width="13.85546875" customWidth="1"/>
    <col min="2" max="2" width="10.42578125" customWidth="1"/>
    <col min="3" max="3" width="11" customWidth="1"/>
    <col min="5" max="5" width="12" customWidth="1"/>
    <col min="7" max="7" width="22.85546875" customWidth="1"/>
  </cols>
  <sheetData>
    <row r="4" spans="1:20" x14ac:dyDescent="0.25">
      <c r="A4" s="106"/>
      <c r="B4" s="106"/>
      <c r="C4" s="106"/>
      <c r="D4" s="106"/>
      <c r="E4" s="106"/>
      <c r="F4" s="106"/>
      <c r="G4" s="106"/>
      <c r="H4" s="106"/>
      <c r="I4" s="106"/>
      <c r="J4" s="106"/>
      <c r="K4" s="106"/>
      <c r="L4" s="106"/>
      <c r="M4" s="106"/>
      <c r="N4" s="106"/>
      <c r="O4" s="106"/>
      <c r="P4" s="106"/>
      <c r="Q4" s="106"/>
      <c r="R4" s="106"/>
      <c r="S4" s="106"/>
      <c r="T4" s="106"/>
    </row>
    <row r="5" spans="1:20" x14ac:dyDescent="0.25">
      <c r="B5" t="s">
        <v>183</v>
      </c>
      <c r="E5" s="95">
        <f>6+25</f>
        <v>31</v>
      </c>
    </row>
    <row r="6" spans="1:20" ht="15.75" thickBot="1" x14ac:dyDescent="0.3"/>
    <row r="7" spans="1:20" x14ac:dyDescent="0.25">
      <c r="B7" s="33" t="s">
        <v>97</v>
      </c>
      <c r="C7" s="29" t="s">
        <v>184</v>
      </c>
      <c r="D7" s="79" t="s">
        <v>97</v>
      </c>
      <c r="E7" s="96"/>
    </row>
    <row r="8" spans="1:20" ht="15.75" thickBot="1" x14ac:dyDescent="0.3">
      <c r="B8" s="30" t="s">
        <v>185</v>
      </c>
      <c r="C8" s="101" t="s">
        <v>186</v>
      </c>
      <c r="D8" s="102" t="s">
        <v>187</v>
      </c>
      <c r="E8" s="103"/>
      <c r="H8" s="24" t="s">
        <v>29</v>
      </c>
      <c r="I8" s="24" t="s">
        <v>30</v>
      </c>
      <c r="J8" s="24" t="s">
        <v>31</v>
      </c>
      <c r="K8" s="24" t="s">
        <v>32</v>
      </c>
      <c r="L8" s="24" t="s">
        <v>33</v>
      </c>
      <c r="M8" s="24" t="s">
        <v>34</v>
      </c>
      <c r="N8" s="24" t="s">
        <v>35</v>
      </c>
      <c r="O8" s="24" t="s">
        <v>36</v>
      </c>
      <c r="P8" s="24" t="s">
        <v>37</v>
      </c>
      <c r="Q8" s="24" t="s">
        <v>38</v>
      </c>
      <c r="R8" s="24" t="s">
        <v>39</v>
      </c>
      <c r="S8" s="24" t="s">
        <v>40</v>
      </c>
      <c r="T8" s="24" t="s">
        <v>188</v>
      </c>
    </row>
    <row r="9" spans="1:20" x14ac:dyDescent="0.25">
      <c r="B9" s="39" t="s">
        <v>14</v>
      </c>
      <c r="C9">
        <v>3.85</v>
      </c>
      <c r="D9" s="97">
        <v>0</v>
      </c>
      <c r="E9" s="98">
        <v>5000</v>
      </c>
      <c r="G9" s="8" t="s">
        <v>189</v>
      </c>
      <c r="H9" s="62" t="e">
        <f>MIN($E9/1000,'Tap Calculator'!AN126)</f>
        <v>#REF!</v>
      </c>
      <c r="I9" s="62" t="e">
        <f>MIN($E9/1000,'Tap Calculator'!AO126)</f>
        <v>#REF!</v>
      </c>
      <c r="J9" s="62" t="e">
        <f>MIN($E9/1000,'Tap Calculator'!AP126)</f>
        <v>#REF!</v>
      </c>
      <c r="K9" s="62" t="e">
        <f>MIN($E9/1000,'Tap Calculator'!AQ126)</f>
        <v>#REF!</v>
      </c>
      <c r="L9" s="62" t="e">
        <f>MIN($E9/1000,'Tap Calculator'!AR126)</f>
        <v>#REF!</v>
      </c>
      <c r="M9" s="62" t="e">
        <f>MIN($E9/1000,'Tap Calculator'!AS126)</f>
        <v>#REF!</v>
      </c>
      <c r="N9" s="62" t="e">
        <f>MIN($E9/1000,'Tap Calculator'!AT126)</f>
        <v>#REF!</v>
      </c>
      <c r="O9" s="62" t="e">
        <f>MIN($E9/1000,'Tap Calculator'!AU126)</f>
        <v>#REF!</v>
      </c>
      <c r="P9" s="62" t="e">
        <f>MIN($E9/1000,'Tap Calculator'!AV126)</f>
        <v>#REF!</v>
      </c>
      <c r="Q9" s="62" t="e">
        <f>MIN($E9/1000,'Tap Calculator'!AW126)</f>
        <v>#REF!</v>
      </c>
      <c r="R9" s="62" t="e">
        <f>MIN($E9/1000,'Tap Calculator'!AX126)</f>
        <v>#REF!</v>
      </c>
      <c r="S9" s="62" t="e">
        <f>MIN($E9/1000,'Tap Calculator'!AY126)</f>
        <v>#REF!</v>
      </c>
    </row>
    <row r="10" spans="1:20" x14ac:dyDescent="0.25">
      <c r="B10" s="39" t="s">
        <v>15</v>
      </c>
      <c r="C10">
        <v>5.65</v>
      </c>
      <c r="D10" s="97">
        <v>6000</v>
      </c>
      <c r="E10" s="98">
        <v>20000</v>
      </c>
      <c r="G10" s="8" t="s">
        <v>190</v>
      </c>
      <c r="H10" s="62" t="e">
        <f>MIN($E10/1000-H9,'Tap Calculator'!AN126-'Monthly Cost Compare'!H9)</f>
        <v>#REF!</v>
      </c>
      <c r="I10" s="62" t="e">
        <f>MIN($E10/1000-I9,'Tap Calculator'!AO126-'Monthly Cost Compare'!I9)</f>
        <v>#REF!</v>
      </c>
      <c r="J10" s="62" t="e">
        <f>MIN($E10/1000-J9,'Tap Calculator'!AP126-'Monthly Cost Compare'!J9)</f>
        <v>#REF!</v>
      </c>
      <c r="K10" s="62" t="e">
        <f>MIN($E10/1000-K9,'Tap Calculator'!AQ126-'Monthly Cost Compare'!K9)</f>
        <v>#REF!</v>
      </c>
      <c r="L10" s="62" t="e">
        <f>MIN($E10/1000-L9,'Tap Calculator'!AR126-'Monthly Cost Compare'!L9)</f>
        <v>#REF!</v>
      </c>
      <c r="M10" s="62" t="e">
        <f>MIN($E10/1000-M9,'Tap Calculator'!AS126-'Monthly Cost Compare'!M9)</f>
        <v>#REF!</v>
      </c>
      <c r="N10" s="62" t="e">
        <f>MIN($E10/1000-N9,'Tap Calculator'!AT126-'Monthly Cost Compare'!N9)</f>
        <v>#REF!</v>
      </c>
      <c r="O10" s="62" t="e">
        <f>MIN($E10/1000-O9,'Tap Calculator'!AU126-'Monthly Cost Compare'!O9)</f>
        <v>#REF!</v>
      </c>
      <c r="P10" s="62" t="e">
        <f>MIN($E10/1000-P9,'Tap Calculator'!AV126-'Monthly Cost Compare'!P9)</f>
        <v>#REF!</v>
      </c>
      <c r="Q10" s="62" t="e">
        <f>MIN($E10/1000-Q9,'Tap Calculator'!AW126-'Monthly Cost Compare'!Q9)</f>
        <v>#REF!</v>
      </c>
      <c r="R10" s="62" t="e">
        <f>MIN($E10/1000-R9,'Tap Calculator'!AX126-'Monthly Cost Compare'!R9)</f>
        <v>#REF!</v>
      </c>
      <c r="S10" s="62" t="e">
        <f>MIN($E10/1000-S9,'Tap Calculator'!AY126-'Monthly Cost Compare'!S9)</f>
        <v>#REF!</v>
      </c>
    </row>
    <row r="11" spans="1:20" x14ac:dyDescent="0.25">
      <c r="B11" s="39" t="s">
        <v>16</v>
      </c>
      <c r="C11">
        <v>8.6</v>
      </c>
      <c r="D11" s="97">
        <v>21000</v>
      </c>
      <c r="E11" s="98">
        <v>30000</v>
      </c>
      <c r="G11" s="8" t="s">
        <v>191</v>
      </c>
      <c r="H11" s="62" t="e">
        <f>MIN($E11/1000-$E10/1000,'Tap Calculator'!AN126-H9-H10)</f>
        <v>#REF!</v>
      </c>
      <c r="I11" s="62" t="e">
        <f>MIN($E11/1000-$E10/1000,'Tap Calculator'!AO126-I9-I10)</f>
        <v>#REF!</v>
      </c>
      <c r="J11" s="62" t="e">
        <f>MIN($E11/1000-$E10/1000,'Tap Calculator'!AP126-J9-J10)</f>
        <v>#REF!</v>
      </c>
      <c r="K11" s="62" t="e">
        <f>MIN($E11/1000-$E10/1000,'Tap Calculator'!AQ126-K9-K10)</f>
        <v>#REF!</v>
      </c>
      <c r="L11" s="62" t="e">
        <f>MIN($E11/1000-$E10/1000,'Tap Calculator'!AR126-L9-L10)</f>
        <v>#REF!</v>
      </c>
      <c r="M11" s="62" t="e">
        <f>MIN($E11/1000-$E10/1000,'Tap Calculator'!AS126-M9-M10)</f>
        <v>#REF!</v>
      </c>
      <c r="N11" s="62" t="e">
        <f>MIN($E11/1000-$E10/1000,'Tap Calculator'!AT126-N9-N10)</f>
        <v>#REF!</v>
      </c>
      <c r="O11" s="62" t="e">
        <f>MIN($E11/1000-$E10/1000,'Tap Calculator'!AU126-O9-O10)</f>
        <v>#REF!</v>
      </c>
      <c r="P11" s="62" t="e">
        <f>MIN($E11/1000-$E10/1000,'Tap Calculator'!AV126-P9-P10)</f>
        <v>#REF!</v>
      </c>
      <c r="Q11" s="62" t="e">
        <f>MIN($E11/1000-$E10/1000,'Tap Calculator'!AW126-Q9-Q10)</f>
        <v>#REF!</v>
      </c>
      <c r="R11" s="62" t="e">
        <f>MIN($E11/1000-$E10/1000,'Tap Calculator'!AX126-R9-R10)</f>
        <v>#REF!</v>
      </c>
      <c r="S11" s="62" t="e">
        <f>MIN($E11/1000-$E10/1000,'Tap Calculator'!AY126-S9-S10)</f>
        <v>#REF!</v>
      </c>
    </row>
    <row r="12" spans="1:20" x14ac:dyDescent="0.25">
      <c r="B12" s="39" t="s">
        <v>17</v>
      </c>
      <c r="C12">
        <v>11.25</v>
      </c>
      <c r="D12" s="97">
        <v>31000</v>
      </c>
      <c r="E12" s="98">
        <v>40000</v>
      </c>
      <c r="G12" s="8" t="s">
        <v>192</v>
      </c>
      <c r="H12" s="62" t="e">
        <f>MIN($E12/1000-$E11/1000,'Tap Calculator'!AN126-H9-H10-H11)</f>
        <v>#REF!</v>
      </c>
      <c r="I12" s="62" t="e">
        <f>MIN($E12/1000-$E11/1000,'Tap Calculator'!AO126-I9-I10-I11)</f>
        <v>#REF!</v>
      </c>
      <c r="J12" s="62" t="e">
        <f>MIN($E12/1000-$E11/1000,'Tap Calculator'!AP126-J9-J10-J11)</f>
        <v>#REF!</v>
      </c>
      <c r="K12" s="62" t="e">
        <f>MIN($E12/1000-$E11/1000,'Tap Calculator'!AQ126-K9-K10-K11)</f>
        <v>#REF!</v>
      </c>
      <c r="L12" s="62" t="e">
        <f>MIN($E12/1000-$E11/1000,'Tap Calculator'!AR126-L9-L10-L11)</f>
        <v>#REF!</v>
      </c>
      <c r="M12" s="62" t="e">
        <f>MIN($E12/1000-$E11/1000,'Tap Calculator'!AS126-M9-M10-M11)</f>
        <v>#REF!</v>
      </c>
      <c r="N12" s="62" t="e">
        <f>MIN($E12/1000-$E11/1000,'Tap Calculator'!AT126-N9-N10-N11)</f>
        <v>#REF!</v>
      </c>
      <c r="O12" s="62" t="e">
        <f>MIN($E12/1000-$E11/1000,'Tap Calculator'!AU126-O9-O10-O11)</f>
        <v>#REF!</v>
      </c>
      <c r="P12" s="62" t="e">
        <f>MIN($E12/1000-$E11/1000,'Tap Calculator'!AV126-P9-P10-P11)</f>
        <v>#REF!</v>
      </c>
      <c r="Q12" s="62" t="e">
        <f>MIN($E12/1000-$E11/1000,'Tap Calculator'!AW126-Q9-Q10-Q11)</f>
        <v>#REF!</v>
      </c>
      <c r="R12" s="62" t="e">
        <f>MIN($E12/1000-$E11/1000,'Tap Calculator'!AX126-R9-R10-R11)</f>
        <v>#REF!</v>
      </c>
      <c r="S12" s="62" t="e">
        <f>MIN($E12/1000-$E11/1000,'Tap Calculator'!AY126-S9-S10-S11)</f>
        <v>#REF!</v>
      </c>
    </row>
    <row r="13" spans="1:20" ht="15.75" thickBot="1" x14ac:dyDescent="0.3">
      <c r="B13" s="41" t="s">
        <v>193</v>
      </c>
      <c r="C13" s="32">
        <v>12.5</v>
      </c>
      <c r="D13" s="99">
        <v>41000</v>
      </c>
      <c r="E13" s="100"/>
      <c r="G13" s="8" t="s">
        <v>194</v>
      </c>
      <c r="H13" s="62" t="e">
        <f>'Tap Calculator'!AN126-H9-H10-H11-H12</f>
        <v>#REF!</v>
      </c>
      <c r="I13" s="62" t="e">
        <f>'Tap Calculator'!AO126-I9-I10-I11-I12</f>
        <v>#REF!</v>
      </c>
      <c r="J13" s="62" t="e">
        <f>'Tap Calculator'!AP126-J9-J10-J11-J12</f>
        <v>#REF!</v>
      </c>
      <c r="K13" s="62" t="e">
        <f>'Tap Calculator'!AQ126-K9-K10-K11-K12</f>
        <v>#REF!</v>
      </c>
      <c r="L13" s="62" t="e">
        <f>'Tap Calculator'!AR126-L9-L10-L11-L12</f>
        <v>#REF!</v>
      </c>
      <c r="M13" s="62" t="e">
        <f>'Tap Calculator'!AS126-M9-M10-M11-M12</f>
        <v>#REF!</v>
      </c>
      <c r="N13" s="62" t="e">
        <f>'Tap Calculator'!AT126-N9-N10-N11-N12</f>
        <v>#REF!</v>
      </c>
      <c r="O13" s="62" t="e">
        <f>'Tap Calculator'!AU126-O9-O10-O11-O12</f>
        <v>#REF!</v>
      </c>
      <c r="P13" s="62" t="e">
        <f>'Tap Calculator'!AV126-P9-P10-P11-P12</f>
        <v>#REF!</v>
      </c>
      <c r="Q13" s="62" t="e">
        <f>'Tap Calculator'!AW126-Q9-Q10-Q11-Q12</f>
        <v>#REF!</v>
      </c>
      <c r="R13" s="62" t="e">
        <f>'Tap Calculator'!AX126-R9-R10-R11-R12</f>
        <v>#REF!</v>
      </c>
      <c r="S13" s="62" t="e">
        <f>'Tap Calculator'!AY126-S9-S10-S11-S12</f>
        <v>#REF!</v>
      </c>
    </row>
    <row r="14" spans="1:20" x14ac:dyDescent="0.25">
      <c r="G14" s="8"/>
    </row>
    <row r="15" spans="1:20" x14ac:dyDescent="0.25">
      <c r="G15" s="8" t="s">
        <v>195</v>
      </c>
      <c r="H15" s="94" t="e">
        <f>$E5+H9*$C9+H10*$C10+H11*$C11+H12*$C12+H13*$C13</f>
        <v>#REF!</v>
      </c>
      <c r="I15" s="94" t="e">
        <f t="shared" ref="I15:S15" si="0">$E5+I9*$C9+I10*$C10+I11*$C11+I12*$C12+I13*$C13</f>
        <v>#REF!</v>
      </c>
      <c r="J15" s="94" t="e">
        <f t="shared" si="0"/>
        <v>#REF!</v>
      </c>
      <c r="K15" s="94" t="e">
        <f t="shared" si="0"/>
        <v>#REF!</v>
      </c>
      <c r="L15" s="94" t="e">
        <f t="shared" si="0"/>
        <v>#REF!</v>
      </c>
      <c r="M15" s="94" t="e">
        <f t="shared" si="0"/>
        <v>#REF!</v>
      </c>
      <c r="N15" s="94" t="e">
        <f t="shared" si="0"/>
        <v>#REF!</v>
      </c>
      <c r="O15" s="94" t="e">
        <f t="shared" si="0"/>
        <v>#REF!</v>
      </c>
      <c r="P15" s="94" t="e">
        <f t="shared" si="0"/>
        <v>#REF!</v>
      </c>
      <c r="Q15" s="94" t="e">
        <f t="shared" si="0"/>
        <v>#REF!</v>
      </c>
      <c r="R15" s="94" t="e">
        <f t="shared" si="0"/>
        <v>#REF!</v>
      </c>
      <c r="S15" s="94" t="e">
        <f t="shared" si="0"/>
        <v>#REF!</v>
      </c>
    </row>
    <row r="16" spans="1:20" x14ac:dyDescent="0.25">
      <c r="D16" s="8" t="s">
        <v>196</v>
      </c>
      <c r="E16" s="95">
        <v>34.5</v>
      </c>
      <c r="G16" s="8" t="s">
        <v>42</v>
      </c>
      <c r="H16" s="94">
        <f>$E16</f>
        <v>34.5</v>
      </c>
      <c r="I16" s="94">
        <f t="shared" ref="I16:S16" si="1">$E16</f>
        <v>34.5</v>
      </c>
      <c r="J16" s="94">
        <f t="shared" si="1"/>
        <v>34.5</v>
      </c>
      <c r="K16" s="94">
        <f t="shared" si="1"/>
        <v>34.5</v>
      </c>
      <c r="L16" s="94">
        <f t="shared" si="1"/>
        <v>34.5</v>
      </c>
      <c r="M16" s="94">
        <f t="shared" si="1"/>
        <v>34.5</v>
      </c>
      <c r="N16" s="94">
        <f t="shared" si="1"/>
        <v>34.5</v>
      </c>
      <c r="O16" s="94">
        <f t="shared" si="1"/>
        <v>34.5</v>
      </c>
      <c r="P16" s="94">
        <f t="shared" si="1"/>
        <v>34.5</v>
      </c>
      <c r="Q16" s="94">
        <f t="shared" si="1"/>
        <v>34.5</v>
      </c>
      <c r="R16" s="94">
        <f t="shared" si="1"/>
        <v>34.5</v>
      </c>
      <c r="S16" s="94">
        <f t="shared" si="1"/>
        <v>34.5</v>
      </c>
    </row>
    <row r="17" spans="1:20" x14ac:dyDescent="0.25">
      <c r="D17" s="8" t="s">
        <v>197</v>
      </c>
      <c r="E17" s="95">
        <v>0</v>
      </c>
      <c r="G17" s="8" t="s">
        <v>198</v>
      </c>
      <c r="H17" s="94">
        <f>E23/12</f>
        <v>7.1992304999999996</v>
      </c>
      <c r="I17" s="94">
        <f>H17</f>
        <v>7.1992304999999996</v>
      </c>
      <c r="J17" s="94">
        <f t="shared" ref="J17:S17" si="2">I17</f>
        <v>7.1992304999999996</v>
      </c>
      <c r="K17" s="94">
        <f t="shared" si="2"/>
        <v>7.1992304999999996</v>
      </c>
      <c r="L17" s="94">
        <f t="shared" si="2"/>
        <v>7.1992304999999996</v>
      </c>
      <c r="M17" s="94">
        <f t="shared" si="2"/>
        <v>7.1992304999999996</v>
      </c>
      <c r="N17" s="94">
        <f t="shared" si="2"/>
        <v>7.1992304999999996</v>
      </c>
      <c r="O17" s="94">
        <f t="shared" si="2"/>
        <v>7.1992304999999996</v>
      </c>
      <c r="P17" s="94">
        <f t="shared" si="2"/>
        <v>7.1992304999999996</v>
      </c>
      <c r="Q17" s="94">
        <f t="shared" si="2"/>
        <v>7.1992304999999996</v>
      </c>
      <c r="R17" s="94">
        <f t="shared" si="2"/>
        <v>7.1992304999999996</v>
      </c>
      <c r="S17" s="94">
        <f t="shared" si="2"/>
        <v>7.1992304999999996</v>
      </c>
    </row>
    <row r="18" spans="1:20" x14ac:dyDescent="0.25">
      <c r="G18" s="8" t="s">
        <v>43</v>
      </c>
      <c r="H18" s="94" t="e">
        <f>SUM(H15:H17)</f>
        <v>#REF!</v>
      </c>
      <c r="I18" s="94" t="e">
        <f t="shared" ref="I18:S18" si="3">SUM(I15:I17)</f>
        <v>#REF!</v>
      </c>
      <c r="J18" s="94" t="e">
        <f t="shared" si="3"/>
        <v>#REF!</v>
      </c>
      <c r="K18" s="94" t="e">
        <f t="shared" si="3"/>
        <v>#REF!</v>
      </c>
      <c r="L18" s="94" t="e">
        <f t="shared" si="3"/>
        <v>#REF!</v>
      </c>
      <c r="M18" s="94" t="e">
        <f t="shared" si="3"/>
        <v>#REF!</v>
      </c>
      <c r="N18" s="94" t="e">
        <f t="shared" si="3"/>
        <v>#REF!</v>
      </c>
      <c r="O18" s="94" t="e">
        <f t="shared" si="3"/>
        <v>#REF!</v>
      </c>
      <c r="P18" s="94" t="e">
        <f t="shared" si="3"/>
        <v>#REF!</v>
      </c>
      <c r="Q18" s="94" t="e">
        <f t="shared" si="3"/>
        <v>#REF!</v>
      </c>
      <c r="R18" s="94" t="e">
        <f t="shared" si="3"/>
        <v>#REF!</v>
      </c>
      <c r="S18" s="94" t="e">
        <f t="shared" si="3"/>
        <v>#REF!</v>
      </c>
      <c r="T18" s="94" t="e">
        <f>SUM(H18:S18)</f>
        <v>#REF!</v>
      </c>
    </row>
    <row r="19" spans="1:20" x14ac:dyDescent="0.25">
      <c r="D19" s="89" t="s">
        <v>199</v>
      </c>
      <c r="E19" s="24">
        <v>4.266</v>
      </c>
    </row>
    <row r="20" spans="1:20" x14ac:dyDescent="0.25">
      <c r="D20" s="8" t="s">
        <v>200</v>
      </c>
      <c r="E20" s="86">
        <v>372000</v>
      </c>
    </row>
    <row r="21" spans="1:20" x14ac:dyDescent="0.25">
      <c r="D21" s="89" t="s">
        <v>201</v>
      </c>
      <c r="E21" s="105">
        <v>5.4438172043010755E-2</v>
      </c>
    </row>
    <row r="22" spans="1:20" x14ac:dyDescent="0.25">
      <c r="D22" s="8" t="s">
        <v>202</v>
      </c>
      <c r="E22" s="86">
        <f>E20*E21</f>
        <v>20251</v>
      </c>
    </row>
    <row r="23" spans="1:20" x14ac:dyDescent="0.25">
      <c r="D23" s="8" t="s">
        <v>203</v>
      </c>
      <c r="E23" s="95">
        <f>E19/1000*E22</f>
        <v>86.390765999999999</v>
      </c>
    </row>
    <row r="25" spans="1:20" x14ac:dyDescent="0.25">
      <c r="B25" s="72" t="s">
        <v>204</v>
      </c>
    </row>
    <row r="26" spans="1:20" x14ac:dyDescent="0.25">
      <c r="B26" s="72" t="s">
        <v>205</v>
      </c>
    </row>
    <row r="28" spans="1:20" x14ac:dyDescent="0.25">
      <c r="A28" s="106"/>
      <c r="B28" s="106"/>
      <c r="C28" s="106"/>
      <c r="D28" s="106"/>
      <c r="E28" s="106"/>
      <c r="F28" s="106"/>
      <c r="G28" s="106"/>
      <c r="H28" s="106"/>
      <c r="I28" s="106"/>
      <c r="J28" s="106"/>
      <c r="K28" s="106"/>
      <c r="L28" s="106"/>
      <c r="M28" s="106"/>
      <c r="N28" s="106"/>
      <c r="O28" s="106"/>
      <c r="P28" s="106"/>
      <c r="Q28" s="106"/>
      <c r="R28" s="106"/>
      <c r="S28" s="106"/>
      <c r="T28" s="106"/>
    </row>
    <row r="30" spans="1:20" x14ac:dyDescent="0.25">
      <c r="B30" t="s">
        <v>206</v>
      </c>
      <c r="E30" s="95">
        <v>30.13</v>
      </c>
    </row>
    <row r="31" spans="1:20" ht="15.75" thickBot="1" x14ac:dyDescent="0.3"/>
    <row r="32" spans="1:20" x14ac:dyDescent="0.25">
      <c r="B32" s="33" t="s">
        <v>97</v>
      </c>
      <c r="C32" s="29" t="s">
        <v>184</v>
      </c>
      <c r="D32" s="79" t="s">
        <v>97</v>
      </c>
      <c r="E32" s="96"/>
    </row>
    <row r="33" spans="2:20" ht="15.75" thickBot="1" x14ac:dyDescent="0.3">
      <c r="B33" s="30" t="s">
        <v>185</v>
      </c>
      <c r="C33" s="101" t="s">
        <v>186</v>
      </c>
      <c r="D33" s="102" t="s">
        <v>187</v>
      </c>
      <c r="E33" s="103"/>
      <c r="H33" s="24" t="s">
        <v>29</v>
      </c>
      <c r="I33" s="24" t="s">
        <v>30</v>
      </c>
      <c r="J33" s="24" t="s">
        <v>31</v>
      </c>
      <c r="K33" s="24" t="s">
        <v>32</v>
      </c>
      <c r="L33" s="24" t="s">
        <v>33</v>
      </c>
      <c r="M33" s="24" t="s">
        <v>34</v>
      </c>
      <c r="N33" s="24" t="s">
        <v>35</v>
      </c>
      <c r="O33" s="24" t="s">
        <v>36</v>
      </c>
      <c r="P33" s="24" t="s">
        <v>37</v>
      </c>
      <c r="Q33" s="24" t="s">
        <v>38</v>
      </c>
      <c r="R33" s="24" t="s">
        <v>39</v>
      </c>
      <c r="S33" s="24" t="s">
        <v>40</v>
      </c>
      <c r="T33" s="24" t="s">
        <v>188</v>
      </c>
    </row>
    <row r="34" spans="2:20" x14ac:dyDescent="0.25">
      <c r="B34" s="39" t="s">
        <v>14</v>
      </c>
      <c r="C34">
        <v>2.27</v>
      </c>
      <c r="D34" s="97">
        <v>0</v>
      </c>
      <c r="E34" s="98">
        <v>6000</v>
      </c>
      <c r="G34" s="8" t="s">
        <v>189</v>
      </c>
      <c r="H34" s="62" t="e">
        <f>MIN($E34/1000,'Tap Calculator'!AN126)</f>
        <v>#REF!</v>
      </c>
      <c r="I34" s="62" t="e">
        <f>MIN($E34/1000,'Tap Calculator'!AO126)</f>
        <v>#REF!</v>
      </c>
      <c r="J34" s="62" t="e">
        <f>MIN($E34/1000,'Tap Calculator'!AP126)</f>
        <v>#REF!</v>
      </c>
      <c r="K34" s="62" t="e">
        <f>MIN($E34/1000,'Tap Calculator'!AQ126)</f>
        <v>#REF!</v>
      </c>
      <c r="L34" s="62" t="e">
        <f>MIN($E34/1000,'Tap Calculator'!AR126)</f>
        <v>#REF!</v>
      </c>
      <c r="M34" s="62" t="e">
        <f>MIN($E34/1000,'Tap Calculator'!AS126)</f>
        <v>#REF!</v>
      </c>
      <c r="N34" s="62" t="e">
        <f>MIN($E34/1000,'Tap Calculator'!AT126)</f>
        <v>#REF!</v>
      </c>
      <c r="O34" s="62" t="e">
        <f>MIN($E34/1000,'Tap Calculator'!AU126)</f>
        <v>#REF!</v>
      </c>
      <c r="P34" s="62" t="e">
        <f>MIN($E34/1000,'Tap Calculator'!AV126)</f>
        <v>#REF!</v>
      </c>
      <c r="Q34" s="62" t="e">
        <f>MIN($E34/1000,'Tap Calculator'!AW126)</f>
        <v>#REF!</v>
      </c>
      <c r="R34" s="62" t="e">
        <f>MIN($E34/1000,'Tap Calculator'!AX126)</f>
        <v>#REF!</v>
      </c>
      <c r="S34" s="62" t="e">
        <f>MIN($E34/1000,'Tap Calculator'!AY126)</f>
        <v>#REF!</v>
      </c>
    </row>
    <row r="35" spans="2:20" x14ac:dyDescent="0.25">
      <c r="B35" s="39" t="s">
        <v>15</v>
      </c>
      <c r="C35">
        <v>4.25</v>
      </c>
      <c r="D35" s="97">
        <v>6000</v>
      </c>
      <c r="E35" s="98">
        <v>20000</v>
      </c>
      <c r="G35" s="8" t="s">
        <v>190</v>
      </c>
      <c r="H35" s="62" t="e">
        <f>MIN($E35/1000-H34,'Tap Calculator'!AN126-'Monthly Cost Compare'!H34)</f>
        <v>#REF!</v>
      </c>
      <c r="I35" s="62" t="e">
        <f>MIN($E35/1000-I34,'Tap Calculator'!AO126-'Monthly Cost Compare'!I34)</f>
        <v>#REF!</v>
      </c>
      <c r="J35" s="62" t="e">
        <f>MIN($E35/1000-J34,'Tap Calculator'!AP126-'Monthly Cost Compare'!J34)</f>
        <v>#REF!</v>
      </c>
      <c r="K35" s="62" t="e">
        <f>MIN($E35/1000-K34,'Tap Calculator'!AQ126-'Monthly Cost Compare'!K34)</f>
        <v>#REF!</v>
      </c>
      <c r="L35" s="62" t="e">
        <f>MIN($E35/1000-L34,'Tap Calculator'!AR126-'Monthly Cost Compare'!L34)</f>
        <v>#REF!</v>
      </c>
      <c r="M35" s="62" t="e">
        <f>MIN($E35/1000-M34,'Tap Calculator'!AS126-'Monthly Cost Compare'!M34)</f>
        <v>#REF!</v>
      </c>
      <c r="N35" s="62" t="e">
        <f>MIN($E35/1000-N34,'Tap Calculator'!AT126-'Monthly Cost Compare'!N34)</f>
        <v>#REF!</v>
      </c>
      <c r="O35" s="62" t="e">
        <f>MIN($E35/1000-O34,'Tap Calculator'!AU126-'Monthly Cost Compare'!O34)</f>
        <v>#REF!</v>
      </c>
      <c r="P35" s="62" t="e">
        <f>MIN($E35/1000-P34,'Tap Calculator'!AV126-'Monthly Cost Compare'!P34)</f>
        <v>#REF!</v>
      </c>
      <c r="Q35" s="62" t="e">
        <f>MIN($E35/1000-Q34,'Tap Calculator'!AW126-'Monthly Cost Compare'!Q34)</f>
        <v>#REF!</v>
      </c>
      <c r="R35" s="62" t="e">
        <f>MIN($E35/1000-R34,'Tap Calculator'!AX126-'Monthly Cost Compare'!R34)</f>
        <v>#REF!</v>
      </c>
      <c r="S35" s="62" t="e">
        <f>MIN($E35/1000-S34,'Tap Calculator'!AY126-'Monthly Cost Compare'!S34)</f>
        <v>#REF!</v>
      </c>
    </row>
    <row r="36" spans="2:20" ht="15.75" thickBot="1" x14ac:dyDescent="0.3">
      <c r="B36" s="41" t="s">
        <v>16</v>
      </c>
      <c r="C36" s="32">
        <v>8.77</v>
      </c>
      <c r="D36" s="104">
        <v>21000</v>
      </c>
      <c r="E36" s="100">
        <v>30000</v>
      </c>
      <c r="G36" s="8" t="s">
        <v>191</v>
      </c>
      <c r="H36" s="62" t="e">
        <f>MIN($E36/1000-$E35/1000,'Tap Calculator'!AN126-H34-H35)</f>
        <v>#REF!</v>
      </c>
      <c r="I36" s="62" t="e">
        <f>MIN($E36/1000-$E35/1000,'Tap Calculator'!AO126-I34-I35)</f>
        <v>#REF!</v>
      </c>
      <c r="J36" s="62" t="e">
        <f>MIN($E36/1000-$E35/1000,'Tap Calculator'!AP126-J34-J35)</f>
        <v>#REF!</v>
      </c>
      <c r="K36" s="62" t="e">
        <f>MIN($E36/1000-$E35/1000,'Tap Calculator'!AQ126-K34-K35)</f>
        <v>#REF!</v>
      </c>
      <c r="L36" s="62" t="e">
        <f>MIN($E36/1000-$E35/1000,'Tap Calculator'!AR126-L34-L35)</f>
        <v>#REF!</v>
      </c>
      <c r="M36" s="62" t="e">
        <f>MIN($E36/1000-$E35/1000,'Tap Calculator'!AS126-M34-M35)</f>
        <v>#REF!</v>
      </c>
      <c r="N36" s="62" t="e">
        <f>MIN($E36/1000-$E35/1000,'Tap Calculator'!AT126-N34-N35)</f>
        <v>#REF!</v>
      </c>
      <c r="O36" s="62" t="e">
        <f>MIN($E36/1000-$E35/1000,'Tap Calculator'!AU126-O34-O35)</f>
        <v>#REF!</v>
      </c>
      <c r="P36" s="62" t="e">
        <f>MIN($E36/1000-$E35/1000,'Tap Calculator'!AV126-P34-P35)</f>
        <v>#REF!</v>
      </c>
      <c r="Q36" s="62" t="e">
        <f>MIN($E36/1000-$E35/1000,'Tap Calculator'!AW126-Q34-Q35)</f>
        <v>#REF!</v>
      </c>
      <c r="R36" s="62" t="e">
        <f>MIN($E36/1000-$E35/1000,'Tap Calculator'!AX126-R34-R35)</f>
        <v>#REF!</v>
      </c>
      <c r="S36" s="62" t="e">
        <f>MIN($E36/1000-$E35/1000,'Tap Calculator'!AY126-S34-S35)</f>
        <v>#REF!</v>
      </c>
    </row>
    <row r="37" spans="2:20" x14ac:dyDescent="0.25">
      <c r="G37" s="8" t="s">
        <v>207</v>
      </c>
      <c r="H37" s="62" t="e">
        <f>SUM(H34:H36)</f>
        <v>#REF!</v>
      </c>
      <c r="I37" s="62" t="e">
        <f t="shared" ref="I37:S37" si="4">SUM(I34:I36)</f>
        <v>#REF!</v>
      </c>
      <c r="J37" s="62" t="e">
        <f t="shared" si="4"/>
        <v>#REF!</v>
      </c>
      <c r="K37" s="62" t="e">
        <f t="shared" si="4"/>
        <v>#REF!</v>
      </c>
      <c r="L37" s="62" t="e">
        <f t="shared" si="4"/>
        <v>#REF!</v>
      </c>
      <c r="M37" s="62" t="e">
        <f t="shared" si="4"/>
        <v>#REF!</v>
      </c>
      <c r="N37" s="62" t="e">
        <f t="shared" si="4"/>
        <v>#REF!</v>
      </c>
      <c r="O37" s="62" t="e">
        <f t="shared" si="4"/>
        <v>#REF!</v>
      </c>
      <c r="P37" s="62" t="e">
        <f t="shared" si="4"/>
        <v>#REF!</v>
      </c>
      <c r="Q37" s="62" t="e">
        <f t="shared" si="4"/>
        <v>#REF!</v>
      </c>
      <c r="R37" s="62" t="e">
        <f t="shared" si="4"/>
        <v>#REF!</v>
      </c>
      <c r="S37" s="62" t="e">
        <f t="shared" si="4"/>
        <v>#REF!</v>
      </c>
    </row>
    <row r="39" spans="2:20" x14ac:dyDescent="0.25">
      <c r="D39" s="8" t="s">
        <v>196</v>
      </c>
      <c r="E39" s="95">
        <v>8.93</v>
      </c>
      <c r="G39" s="8" t="s">
        <v>195</v>
      </c>
      <c r="H39" s="94" t="e">
        <f t="shared" ref="H39:S39" si="5">$E30+H34*$C34+H35*$C35+H36*$C36</f>
        <v>#REF!</v>
      </c>
      <c r="I39" s="94" t="e">
        <f t="shared" si="5"/>
        <v>#REF!</v>
      </c>
      <c r="J39" s="94" t="e">
        <f t="shared" si="5"/>
        <v>#REF!</v>
      </c>
      <c r="K39" s="94" t="e">
        <f t="shared" si="5"/>
        <v>#REF!</v>
      </c>
      <c r="L39" s="94" t="e">
        <f t="shared" si="5"/>
        <v>#REF!</v>
      </c>
      <c r="M39" s="94" t="e">
        <f t="shared" si="5"/>
        <v>#REF!</v>
      </c>
      <c r="N39" s="94" t="e">
        <f t="shared" si="5"/>
        <v>#REF!</v>
      </c>
      <c r="O39" s="94" t="e">
        <f t="shared" si="5"/>
        <v>#REF!</v>
      </c>
      <c r="P39" s="94" t="e">
        <f t="shared" si="5"/>
        <v>#REF!</v>
      </c>
      <c r="Q39" s="94" t="e">
        <f t="shared" si="5"/>
        <v>#REF!</v>
      </c>
      <c r="R39" s="94" t="e">
        <f t="shared" si="5"/>
        <v>#REF!</v>
      </c>
      <c r="S39" s="94" t="e">
        <f t="shared" si="5"/>
        <v>#REF!</v>
      </c>
    </row>
    <row r="40" spans="2:20" x14ac:dyDescent="0.25">
      <c r="D40" s="8" t="s">
        <v>197</v>
      </c>
      <c r="E40" s="95">
        <v>8.8000000000000007</v>
      </c>
      <c r="G40" s="8" t="s">
        <v>42</v>
      </c>
      <c r="H40" s="94" t="e">
        <f>AVERAGE(H37:I37,S37)*E40+E39</f>
        <v>#REF!</v>
      </c>
      <c r="I40" s="94" t="e">
        <f>H40</f>
        <v>#REF!</v>
      </c>
      <c r="J40" s="94" t="e">
        <f t="shared" ref="J40:S40" si="6">I40</f>
        <v>#REF!</v>
      </c>
      <c r="K40" s="94" t="e">
        <f t="shared" si="6"/>
        <v>#REF!</v>
      </c>
      <c r="L40" s="94" t="e">
        <f t="shared" si="6"/>
        <v>#REF!</v>
      </c>
      <c r="M40" s="94" t="e">
        <f t="shared" si="6"/>
        <v>#REF!</v>
      </c>
      <c r="N40" s="94" t="e">
        <f t="shared" si="6"/>
        <v>#REF!</v>
      </c>
      <c r="O40" s="94" t="e">
        <f t="shared" si="6"/>
        <v>#REF!</v>
      </c>
      <c r="P40" s="94" t="e">
        <f t="shared" si="6"/>
        <v>#REF!</v>
      </c>
      <c r="Q40" s="94" t="e">
        <f t="shared" si="6"/>
        <v>#REF!</v>
      </c>
      <c r="R40" s="94" t="e">
        <f t="shared" si="6"/>
        <v>#REF!</v>
      </c>
      <c r="S40" s="94" t="e">
        <f t="shared" si="6"/>
        <v>#REF!</v>
      </c>
    </row>
    <row r="41" spans="2:20" x14ac:dyDescent="0.25">
      <c r="G41" s="8" t="s">
        <v>198</v>
      </c>
      <c r="H41" s="94">
        <f>E46/12</f>
        <v>26.452271166666666</v>
      </c>
      <c r="I41" s="94">
        <f>H41</f>
        <v>26.452271166666666</v>
      </c>
      <c r="J41" s="94">
        <f t="shared" ref="J41:S41" si="7">I41</f>
        <v>26.452271166666666</v>
      </c>
      <c r="K41" s="94">
        <f t="shared" si="7"/>
        <v>26.452271166666666</v>
      </c>
      <c r="L41" s="94">
        <f t="shared" si="7"/>
        <v>26.452271166666666</v>
      </c>
      <c r="M41" s="94">
        <f t="shared" si="7"/>
        <v>26.452271166666666</v>
      </c>
      <c r="N41" s="94">
        <f t="shared" si="7"/>
        <v>26.452271166666666</v>
      </c>
      <c r="O41" s="94">
        <f t="shared" si="7"/>
        <v>26.452271166666666</v>
      </c>
      <c r="P41" s="94">
        <f t="shared" si="7"/>
        <v>26.452271166666666</v>
      </c>
      <c r="Q41" s="94">
        <f t="shared" si="7"/>
        <v>26.452271166666666</v>
      </c>
      <c r="R41" s="94">
        <f t="shared" si="7"/>
        <v>26.452271166666666</v>
      </c>
      <c r="S41" s="94">
        <f t="shared" si="7"/>
        <v>26.452271166666666</v>
      </c>
    </row>
    <row r="42" spans="2:20" x14ac:dyDescent="0.25">
      <c r="D42" s="89" t="s">
        <v>208</v>
      </c>
      <c r="E42" s="24">
        <f>1.727+7.5</f>
        <v>9.2270000000000003</v>
      </c>
      <c r="G42" s="8" t="s">
        <v>43</v>
      </c>
      <c r="H42" s="94" t="e">
        <f>H40+H39+H41</f>
        <v>#REF!</v>
      </c>
      <c r="I42" s="94" t="e">
        <f t="shared" ref="I42:S42" si="8">I40+I39+I41</f>
        <v>#REF!</v>
      </c>
      <c r="J42" s="94" t="e">
        <f t="shared" si="8"/>
        <v>#REF!</v>
      </c>
      <c r="K42" s="94" t="e">
        <f t="shared" si="8"/>
        <v>#REF!</v>
      </c>
      <c r="L42" s="94" t="e">
        <f t="shared" si="8"/>
        <v>#REF!</v>
      </c>
      <c r="M42" s="94" t="e">
        <f t="shared" si="8"/>
        <v>#REF!</v>
      </c>
      <c r="N42" s="94" t="e">
        <f t="shared" si="8"/>
        <v>#REF!</v>
      </c>
      <c r="O42" s="94" t="e">
        <f t="shared" si="8"/>
        <v>#REF!</v>
      </c>
      <c r="P42" s="94" t="e">
        <f t="shared" si="8"/>
        <v>#REF!</v>
      </c>
      <c r="Q42" s="94" t="e">
        <f t="shared" si="8"/>
        <v>#REF!</v>
      </c>
      <c r="R42" s="94" t="e">
        <f t="shared" si="8"/>
        <v>#REF!</v>
      </c>
      <c r="S42" s="94" t="e">
        <f t="shared" si="8"/>
        <v>#REF!</v>
      </c>
      <c r="T42" s="94" t="e">
        <f>SUM(H42:S42)</f>
        <v>#REF!</v>
      </c>
    </row>
    <row r="43" spans="2:20" x14ac:dyDescent="0.25">
      <c r="D43" s="8" t="s">
        <v>209</v>
      </c>
      <c r="E43" s="86">
        <v>417500</v>
      </c>
    </row>
    <row r="44" spans="2:20" x14ac:dyDescent="0.25">
      <c r="D44" s="89" t="s">
        <v>210</v>
      </c>
      <c r="E44" s="105">
        <v>8.2400000000000001E-2</v>
      </c>
    </row>
    <row r="45" spans="2:20" x14ac:dyDescent="0.25">
      <c r="D45" s="8" t="s">
        <v>211</v>
      </c>
      <c r="E45" s="86">
        <f>E43*E44</f>
        <v>34402</v>
      </c>
    </row>
    <row r="46" spans="2:20" x14ac:dyDescent="0.25">
      <c r="D46" s="8" t="s">
        <v>212</v>
      </c>
      <c r="E46" s="95">
        <f>E42/1000*E45</f>
        <v>317.427254</v>
      </c>
    </row>
    <row r="48" spans="2:20" x14ac:dyDescent="0.25">
      <c r="B48" s="72" t="s">
        <v>213</v>
      </c>
    </row>
    <row r="49" spans="1:20" x14ac:dyDescent="0.25">
      <c r="B49" s="72" t="s">
        <v>214</v>
      </c>
    </row>
    <row r="50" spans="1:20" x14ac:dyDescent="0.25">
      <c r="B50" s="72"/>
    </row>
    <row r="51" spans="1:20" x14ac:dyDescent="0.25">
      <c r="A51" s="106"/>
      <c r="B51" s="106"/>
      <c r="C51" s="106"/>
      <c r="D51" s="106"/>
      <c r="E51" s="106"/>
      <c r="F51" s="106"/>
      <c r="G51" s="106"/>
      <c r="H51" s="106"/>
      <c r="I51" s="106"/>
      <c r="J51" s="106"/>
      <c r="K51" s="106"/>
      <c r="L51" s="106"/>
      <c r="M51" s="106"/>
      <c r="N51" s="106"/>
      <c r="O51" s="106"/>
      <c r="P51" s="106"/>
      <c r="Q51" s="106"/>
      <c r="R51" s="106"/>
      <c r="S51" s="106"/>
      <c r="T51" s="106"/>
    </row>
    <row r="53" spans="1:20" x14ac:dyDescent="0.25">
      <c r="B53" t="s">
        <v>215</v>
      </c>
      <c r="E53" s="95">
        <f>9.54+17.52</f>
        <v>27.06</v>
      </c>
    </row>
    <row r="54" spans="1:20" ht="15.75" thickBot="1" x14ac:dyDescent="0.3"/>
    <row r="55" spans="1:20" x14ac:dyDescent="0.25">
      <c r="B55" s="33" t="s">
        <v>97</v>
      </c>
      <c r="C55" s="29" t="s">
        <v>184</v>
      </c>
      <c r="D55" s="79" t="s">
        <v>97</v>
      </c>
      <c r="E55" s="96"/>
    </row>
    <row r="56" spans="1:20" ht="15.75" thickBot="1" x14ac:dyDescent="0.3">
      <c r="B56" s="30" t="s">
        <v>185</v>
      </c>
      <c r="C56" s="101" t="s">
        <v>186</v>
      </c>
      <c r="D56" s="102" t="s">
        <v>187</v>
      </c>
      <c r="E56" s="103"/>
      <c r="H56" s="24" t="s">
        <v>29</v>
      </c>
      <c r="I56" s="24" t="s">
        <v>30</v>
      </c>
      <c r="J56" s="24" t="s">
        <v>31</v>
      </c>
      <c r="K56" s="24" t="s">
        <v>32</v>
      </c>
      <c r="L56" s="24" t="s">
        <v>33</v>
      </c>
      <c r="M56" s="24" t="s">
        <v>34</v>
      </c>
      <c r="N56" s="24" t="s">
        <v>35</v>
      </c>
      <c r="O56" s="24" t="s">
        <v>36</v>
      </c>
      <c r="P56" s="24" t="s">
        <v>37</v>
      </c>
      <c r="Q56" s="24" t="s">
        <v>38</v>
      </c>
      <c r="R56" s="24" t="s">
        <v>39</v>
      </c>
      <c r="S56" s="24" t="s">
        <v>40</v>
      </c>
      <c r="T56" s="24" t="s">
        <v>188</v>
      </c>
    </row>
    <row r="57" spans="1:20" x14ac:dyDescent="0.25">
      <c r="B57" s="39" t="s">
        <v>216</v>
      </c>
      <c r="C57">
        <v>2.82</v>
      </c>
      <c r="D57" s="97">
        <v>0</v>
      </c>
      <c r="E57" s="107" t="e">
        <f>(H60+I60+R60+S60)/4*1000</f>
        <v>#REF!</v>
      </c>
      <c r="G57" s="8" t="s">
        <v>217</v>
      </c>
      <c r="H57" s="62">
        <f>'Tap Calculator'!AN118</f>
        <v>5.0324999999999998</v>
      </c>
      <c r="I57" s="62">
        <f>'Tap Calculator'!AO118</f>
        <v>5.0324999999999998</v>
      </c>
      <c r="J57" s="62">
        <f>'Tap Calculator'!AP118</f>
        <v>5.0324999999999998</v>
      </c>
      <c r="K57" s="62">
        <f>'Tap Calculator'!AQ118</f>
        <v>5.0324999999999998</v>
      </c>
      <c r="L57" s="62">
        <f>'Tap Calculator'!AR118</f>
        <v>5.0324999999999998</v>
      </c>
      <c r="M57" s="62">
        <f>'Tap Calculator'!AS118</f>
        <v>5.0324999999999998</v>
      </c>
      <c r="N57" s="62">
        <f>'Tap Calculator'!AT118</f>
        <v>5.0324999999999998</v>
      </c>
      <c r="O57" s="62">
        <f>'Tap Calculator'!AU118</f>
        <v>5.0324999999999998</v>
      </c>
      <c r="P57" s="62">
        <f>'Tap Calculator'!AV118</f>
        <v>5.0324999999999998</v>
      </c>
      <c r="Q57" s="62">
        <f>'Tap Calculator'!AW118</f>
        <v>5.0324999999999998</v>
      </c>
      <c r="R57" s="62">
        <f>'Tap Calculator'!AX118</f>
        <v>5.0324999999999998</v>
      </c>
      <c r="S57" s="62">
        <f>'Tap Calculator'!AY118</f>
        <v>5.0324999999999998</v>
      </c>
    </row>
    <row r="58" spans="1:20" x14ac:dyDescent="0.25">
      <c r="B58" s="39" t="s">
        <v>218</v>
      </c>
      <c r="C58">
        <v>5.53</v>
      </c>
      <c r="D58" s="108" t="s">
        <v>219</v>
      </c>
      <c r="E58" s="109"/>
      <c r="G58" s="8" t="s">
        <v>220</v>
      </c>
      <c r="H58" s="62" t="e">
        <f>'Tap Calculator'!AN120</f>
        <v>#REF!</v>
      </c>
      <c r="I58" s="62" t="e">
        <f>'Tap Calculator'!AO120</f>
        <v>#REF!</v>
      </c>
      <c r="J58" s="62" t="e">
        <f>'Tap Calculator'!AP120</f>
        <v>#REF!</v>
      </c>
      <c r="K58" s="62" t="e">
        <f>'Tap Calculator'!AQ120</f>
        <v>#REF!</v>
      </c>
      <c r="L58" s="62" t="e">
        <f>'Tap Calculator'!AR120</f>
        <v>#REF!</v>
      </c>
      <c r="M58" s="62" t="e">
        <f>'Tap Calculator'!AS120</f>
        <v>#REF!</v>
      </c>
      <c r="N58" s="62" t="e">
        <f>'Tap Calculator'!AT120</f>
        <v>#REF!</v>
      </c>
      <c r="O58" s="62" t="e">
        <f>'Tap Calculator'!AU120</f>
        <v>#REF!</v>
      </c>
      <c r="P58" s="62" t="e">
        <f>'Tap Calculator'!AV120</f>
        <v>#REF!</v>
      </c>
      <c r="Q58" s="62" t="e">
        <f>'Tap Calculator'!AW120</f>
        <v>#REF!</v>
      </c>
      <c r="R58" s="62" t="e">
        <f>'Tap Calculator'!AX120</f>
        <v>#REF!</v>
      </c>
      <c r="S58" s="62" t="e">
        <f>'Tap Calculator'!AY120</f>
        <v>#REF!</v>
      </c>
    </row>
    <row r="59" spans="1:20" ht="15.75" thickBot="1" x14ac:dyDescent="0.3">
      <c r="B59" s="41" t="s">
        <v>221</v>
      </c>
      <c r="C59" s="32">
        <v>8.2899999999999991</v>
      </c>
      <c r="D59" s="110" t="s">
        <v>222</v>
      </c>
      <c r="E59" s="103"/>
      <c r="G59" s="8" t="s">
        <v>223</v>
      </c>
      <c r="H59" s="62" t="e">
        <f>'Tap Calculator'!AN126-H58-H57</f>
        <v>#REF!</v>
      </c>
      <c r="I59" s="62" t="e">
        <f>'Tap Calculator'!AO126-I58-I57</f>
        <v>#REF!</v>
      </c>
      <c r="J59" s="62" t="e">
        <f>'Tap Calculator'!AP126-J58-J57</f>
        <v>#REF!</v>
      </c>
      <c r="K59" s="62" t="e">
        <f>'Tap Calculator'!AQ126-K58-K57</f>
        <v>#REF!</v>
      </c>
      <c r="L59" s="62" t="e">
        <f>'Tap Calculator'!AR126-L58-L57</f>
        <v>#REF!</v>
      </c>
      <c r="M59" s="62" t="e">
        <f>'Tap Calculator'!AS126-M58-M57</f>
        <v>#REF!</v>
      </c>
      <c r="N59" s="62" t="e">
        <f>'Tap Calculator'!AT126-N58-N57</f>
        <v>#REF!</v>
      </c>
      <c r="O59" s="62" t="e">
        <f>'Tap Calculator'!AU126-O58-O57</f>
        <v>#REF!</v>
      </c>
      <c r="P59" s="62" t="e">
        <f>'Tap Calculator'!AV126-P58-P57</f>
        <v>#REF!</v>
      </c>
      <c r="Q59" s="62" t="e">
        <f>'Tap Calculator'!AW126-Q58-Q57</f>
        <v>#REF!</v>
      </c>
      <c r="R59" s="62" t="e">
        <f>'Tap Calculator'!AX126-R58-R57</f>
        <v>#REF!</v>
      </c>
      <c r="S59" s="62" t="e">
        <f>'Tap Calculator'!AY126-S58-S57</f>
        <v>#REF!</v>
      </c>
    </row>
    <row r="60" spans="1:20" x14ac:dyDescent="0.25">
      <c r="G60" s="8" t="s">
        <v>207</v>
      </c>
      <c r="H60" s="62" t="e">
        <f>H37</f>
        <v>#REF!</v>
      </c>
      <c r="I60" s="62" t="e">
        <f t="shared" ref="I60:S60" si="9">I37</f>
        <v>#REF!</v>
      </c>
      <c r="J60" s="62" t="e">
        <f t="shared" si="9"/>
        <v>#REF!</v>
      </c>
      <c r="K60" s="62" t="e">
        <f t="shared" si="9"/>
        <v>#REF!</v>
      </c>
      <c r="L60" s="62" t="e">
        <f t="shared" si="9"/>
        <v>#REF!</v>
      </c>
      <c r="M60" s="62" t="e">
        <f t="shared" si="9"/>
        <v>#REF!</v>
      </c>
      <c r="N60" s="62" t="e">
        <f t="shared" si="9"/>
        <v>#REF!</v>
      </c>
      <c r="O60" s="62" t="e">
        <f t="shared" si="9"/>
        <v>#REF!</v>
      </c>
      <c r="P60" s="62" t="e">
        <f t="shared" si="9"/>
        <v>#REF!</v>
      </c>
      <c r="Q60" s="62" t="e">
        <f t="shared" si="9"/>
        <v>#REF!</v>
      </c>
      <c r="R60" s="62" t="e">
        <f t="shared" si="9"/>
        <v>#REF!</v>
      </c>
      <c r="S60" s="62" t="e">
        <f t="shared" si="9"/>
        <v>#REF!</v>
      </c>
    </row>
    <row r="62" spans="1:20" x14ac:dyDescent="0.25">
      <c r="D62" s="8" t="s">
        <v>196</v>
      </c>
      <c r="E62" s="95">
        <v>9.3000000000000007</v>
      </c>
      <c r="G62" s="8" t="s">
        <v>195</v>
      </c>
      <c r="H62" s="94" t="e">
        <f t="shared" ref="H62:S62" si="10">$E53+H57*$C57+H58*$C58+H59*$C59</f>
        <v>#REF!</v>
      </c>
      <c r="I62" s="94" t="e">
        <f t="shared" si="10"/>
        <v>#REF!</v>
      </c>
      <c r="J62" s="94" t="e">
        <f t="shared" si="10"/>
        <v>#REF!</v>
      </c>
      <c r="K62" s="94" t="e">
        <f t="shared" si="10"/>
        <v>#REF!</v>
      </c>
      <c r="L62" s="94" t="e">
        <f t="shared" si="10"/>
        <v>#REF!</v>
      </c>
      <c r="M62" s="94" t="e">
        <f t="shared" si="10"/>
        <v>#REF!</v>
      </c>
      <c r="N62" s="94" t="e">
        <f t="shared" si="10"/>
        <v>#REF!</v>
      </c>
      <c r="O62" s="94" t="e">
        <f t="shared" si="10"/>
        <v>#REF!</v>
      </c>
      <c r="P62" s="94" t="e">
        <f t="shared" si="10"/>
        <v>#REF!</v>
      </c>
      <c r="Q62" s="94" t="e">
        <f t="shared" si="10"/>
        <v>#REF!</v>
      </c>
      <c r="R62" s="94" t="e">
        <f t="shared" si="10"/>
        <v>#REF!</v>
      </c>
      <c r="S62" s="94" t="e">
        <f t="shared" si="10"/>
        <v>#REF!</v>
      </c>
    </row>
    <row r="63" spans="1:20" x14ac:dyDescent="0.25">
      <c r="D63" s="8" t="s">
        <v>197</v>
      </c>
      <c r="E63" s="95">
        <v>6.59</v>
      </c>
      <c r="G63" s="8" t="s">
        <v>42</v>
      </c>
      <c r="H63" s="94" t="e">
        <f>AVERAGE(H60:I60,S60)*E63+E62</f>
        <v>#REF!</v>
      </c>
      <c r="I63" s="94" t="e">
        <f>H63</f>
        <v>#REF!</v>
      </c>
      <c r="J63" s="94" t="e">
        <f t="shared" ref="J63:J64" si="11">I63</f>
        <v>#REF!</v>
      </c>
      <c r="K63" s="94" t="e">
        <f t="shared" ref="K63:K64" si="12">J63</f>
        <v>#REF!</v>
      </c>
      <c r="L63" s="94" t="e">
        <f t="shared" ref="L63:L64" si="13">K63</f>
        <v>#REF!</v>
      </c>
      <c r="M63" s="94" t="e">
        <f t="shared" ref="M63:M64" si="14">L63</f>
        <v>#REF!</v>
      </c>
      <c r="N63" s="94" t="e">
        <f t="shared" ref="N63:N64" si="15">M63</f>
        <v>#REF!</v>
      </c>
      <c r="O63" s="94" t="e">
        <f t="shared" ref="O63:O64" si="16">N63</f>
        <v>#REF!</v>
      </c>
      <c r="P63" s="94" t="e">
        <f t="shared" ref="P63:P64" si="17">O63</f>
        <v>#REF!</v>
      </c>
      <c r="Q63" s="94" t="e">
        <f t="shared" ref="Q63:Q64" si="18">P63</f>
        <v>#REF!</v>
      </c>
      <c r="R63" s="94" t="e">
        <f t="shared" ref="R63:R64" si="19">Q63</f>
        <v>#REF!</v>
      </c>
      <c r="S63" s="94" t="e">
        <f t="shared" ref="S63:S64" si="20">R63</f>
        <v>#REF!</v>
      </c>
    </row>
    <row r="64" spans="1:20" x14ac:dyDescent="0.25">
      <c r="G64" s="8" t="s">
        <v>198</v>
      </c>
      <c r="H64" s="94">
        <f>E69/12</f>
        <v>0</v>
      </c>
      <c r="I64" s="94">
        <f>H64</f>
        <v>0</v>
      </c>
      <c r="J64" s="94">
        <f t="shared" si="11"/>
        <v>0</v>
      </c>
      <c r="K64" s="94">
        <f t="shared" si="12"/>
        <v>0</v>
      </c>
      <c r="L64" s="94">
        <f t="shared" si="13"/>
        <v>0</v>
      </c>
      <c r="M64" s="94">
        <f t="shared" si="14"/>
        <v>0</v>
      </c>
      <c r="N64" s="94">
        <f t="shared" si="15"/>
        <v>0</v>
      </c>
      <c r="O64" s="94">
        <f t="shared" si="16"/>
        <v>0</v>
      </c>
      <c r="P64" s="94">
        <f t="shared" si="17"/>
        <v>0</v>
      </c>
      <c r="Q64" s="94">
        <f t="shared" si="18"/>
        <v>0</v>
      </c>
      <c r="R64" s="94">
        <f t="shared" si="19"/>
        <v>0</v>
      </c>
      <c r="S64" s="94">
        <f t="shared" si="20"/>
        <v>0</v>
      </c>
    </row>
    <row r="65" spans="1:20" x14ac:dyDescent="0.25">
      <c r="D65" s="89" t="s">
        <v>224</v>
      </c>
      <c r="E65" s="24">
        <v>0</v>
      </c>
      <c r="G65" s="8" t="s">
        <v>43</v>
      </c>
      <c r="H65" s="94" t="e">
        <f>H63+H62+H64</f>
        <v>#REF!</v>
      </c>
      <c r="I65" s="94" t="e">
        <f t="shared" ref="I65:S65" si="21">I63+I62+I64</f>
        <v>#REF!</v>
      </c>
      <c r="J65" s="94" t="e">
        <f t="shared" si="21"/>
        <v>#REF!</v>
      </c>
      <c r="K65" s="94" t="e">
        <f t="shared" si="21"/>
        <v>#REF!</v>
      </c>
      <c r="L65" s="94" t="e">
        <f t="shared" si="21"/>
        <v>#REF!</v>
      </c>
      <c r="M65" s="94" t="e">
        <f t="shared" si="21"/>
        <v>#REF!</v>
      </c>
      <c r="N65" s="94" t="e">
        <f t="shared" si="21"/>
        <v>#REF!</v>
      </c>
      <c r="O65" s="94" t="e">
        <f t="shared" si="21"/>
        <v>#REF!</v>
      </c>
      <c r="P65" s="94" t="e">
        <f t="shared" si="21"/>
        <v>#REF!</v>
      </c>
      <c r="Q65" s="94" t="e">
        <f t="shared" si="21"/>
        <v>#REF!</v>
      </c>
      <c r="R65" s="94" t="e">
        <f t="shared" si="21"/>
        <v>#REF!</v>
      </c>
      <c r="S65" s="94" t="e">
        <f t="shared" si="21"/>
        <v>#REF!</v>
      </c>
      <c r="T65" s="94" t="e">
        <f>SUM(H65:S65)</f>
        <v>#REF!</v>
      </c>
    </row>
    <row r="66" spans="1:20" x14ac:dyDescent="0.25">
      <c r="D66" s="8" t="s">
        <v>225</v>
      </c>
      <c r="E66" s="86">
        <v>431400</v>
      </c>
    </row>
    <row r="67" spans="1:20" x14ac:dyDescent="0.25">
      <c r="D67" s="89" t="s">
        <v>210</v>
      </c>
      <c r="E67" s="105">
        <v>8.1684999999999994E-2</v>
      </c>
    </row>
    <row r="68" spans="1:20" x14ac:dyDescent="0.25">
      <c r="D68" s="8" t="s">
        <v>226</v>
      </c>
      <c r="E68" s="86">
        <f>E66*E67</f>
        <v>35238.909</v>
      </c>
    </row>
    <row r="69" spans="1:20" x14ac:dyDescent="0.25">
      <c r="D69" s="8" t="s">
        <v>227</v>
      </c>
      <c r="E69" s="95">
        <f>E65/1000*E68</f>
        <v>0</v>
      </c>
    </row>
    <row r="71" spans="1:20" x14ac:dyDescent="0.25">
      <c r="B71" s="72" t="s">
        <v>228</v>
      </c>
    </row>
    <row r="72" spans="1:20" x14ac:dyDescent="0.25">
      <c r="B72" s="72"/>
    </row>
    <row r="73" spans="1:20" x14ac:dyDescent="0.25">
      <c r="A73" s="106"/>
      <c r="B73" s="106"/>
      <c r="C73" s="106"/>
      <c r="D73" s="106"/>
      <c r="E73" s="106"/>
      <c r="F73" s="106"/>
      <c r="G73" s="106"/>
      <c r="H73" s="106"/>
      <c r="I73" s="106"/>
      <c r="J73" s="106"/>
      <c r="K73" s="106"/>
      <c r="L73" s="106"/>
      <c r="M73" s="106"/>
      <c r="N73" s="106"/>
      <c r="O73" s="106"/>
      <c r="P73" s="106"/>
      <c r="Q73" s="106"/>
      <c r="R73" s="106"/>
      <c r="S73" s="106"/>
      <c r="T73" s="106"/>
    </row>
    <row r="75" spans="1:20" x14ac:dyDescent="0.25">
      <c r="F75" s="8" t="s">
        <v>229</v>
      </c>
      <c r="H75" s="94" t="e">
        <f>(H65+H42+H18)/3</f>
        <v>#REF!</v>
      </c>
      <c r="I75" s="94" t="e">
        <f t="shared" ref="I75:S75" si="22">(I65+I42+I18)/3</f>
        <v>#REF!</v>
      </c>
      <c r="J75" s="94" t="e">
        <f t="shared" si="22"/>
        <v>#REF!</v>
      </c>
      <c r="K75" s="94" t="e">
        <f t="shared" si="22"/>
        <v>#REF!</v>
      </c>
      <c r="L75" s="94" t="e">
        <f t="shared" si="22"/>
        <v>#REF!</v>
      </c>
      <c r="M75" s="94" t="e">
        <f t="shared" si="22"/>
        <v>#REF!</v>
      </c>
      <c r="N75" s="94" t="e">
        <f t="shared" si="22"/>
        <v>#REF!</v>
      </c>
      <c r="O75" s="94" t="e">
        <f t="shared" si="22"/>
        <v>#REF!</v>
      </c>
      <c r="P75" s="94" t="e">
        <f t="shared" si="22"/>
        <v>#REF!</v>
      </c>
      <c r="Q75" s="94" t="e">
        <f t="shared" si="22"/>
        <v>#REF!</v>
      </c>
      <c r="R75" s="94" t="e">
        <f t="shared" si="22"/>
        <v>#REF!</v>
      </c>
      <c r="S75" s="94" t="e">
        <f t="shared" si="22"/>
        <v>#REF!</v>
      </c>
      <c r="T75" s="94" t="e">
        <f>SUM(H75:S75)</f>
        <v>#REF!</v>
      </c>
    </row>
    <row r="76" spans="1:20" x14ac:dyDescent="0.25">
      <c r="T76" s="94"/>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C33"/>
  <sheetViews>
    <sheetView topLeftCell="A7" workbookViewId="0">
      <selection activeCell="B36" sqref="B36"/>
    </sheetView>
  </sheetViews>
  <sheetFormatPr defaultRowHeight="15" x14ac:dyDescent="0.25"/>
  <cols>
    <col min="1" max="1" width="4.7109375" customWidth="1"/>
    <col min="2" max="2" width="31.7109375" customWidth="1"/>
  </cols>
  <sheetData>
    <row r="3" spans="2:3" x14ac:dyDescent="0.25">
      <c r="B3" s="114" t="s">
        <v>230</v>
      </c>
    </row>
    <row r="4" spans="2:3" x14ac:dyDescent="0.25">
      <c r="B4" s="8" t="s">
        <v>231</v>
      </c>
      <c r="C4" s="111">
        <v>26500</v>
      </c>
    </row>
    <row r="6" spans="2:3" x14ac:dyDescent="0.25">
      <c r="B6" s="8" t="s">
        <v>232</v>
      </c>
      <c r="C6" s="111">
        <v>1524</v>
      </c>
    </row>
    <row r="7" spans="2:3" ht="15.75" thickBot="1" x14ac:dyDescent="0.3">
      <c r="B7" s="112" t="s">
        <v>233</v>
      </c>
      <c r="C7" s="113">
        <v>4220</v>
      </c>
    </row>
    <row r="8" spans="2:3" ht="15.75" thickTop="1" x14ac:dyDescent="0.25">
      <c r="B8" s="8" t="s">
        <v>234</v>
      </c>
      <c r="C8" s="111">
        <f>C7+C6</f>
        <v>5744</v>
      </c>
    </row>
    <row r="10" spans="2:3" x14ac:dyDescent="0.25">
      <c r="B10" s="8" t="s">
        <v>235</v>
      </c>
      <c r="C10" s="111">
        <f>C8+C4</f>
        <v>32244</v>
      </c>
    </row>
    <row r="13" spans="2:3" x14ac:dyDescent="0.25">
      <c r="B13" s="114" t="s">
        <v>236</v>
      </c>
    </row>
    <row r="14" spans="2:3" x14ac:dyDescent="0.25">
      <c r="B14" s="8" t="s">
        <v>237</v>
      </c>
      <c r="C14" s="111">
        <v>9940</v>
      </c>
    </row>
    <row r="15" spans="2:3" x14ac:dyDescent="0.25">
      <c r="B15" s="8" t="s">
        <v>238</v>
      </c>
      <c r="C15" s="111">
        <v>12170</v>
      </c>
    </row>
    <row r="16" spans="2:3" x14ac:dyDescent="0.25">
      <c r="B16" s="8" t="s">
        <v>239</v>
      </c>
      <c r="C16" s="111">
        <v>5000</v>
      </c>
    </row>
    <row r="17" spans="2:3" ht="15.75" thickBot="1" x14ac:dyDescent="0.3">
      <c r="B17" s="112" t="s">
        <v>240</v>
      </c>
      <c r="C17" s="113">
        <f>380+110</f>
        <v>490</v>
      </c>
    </row>
    <row r="18" spans="2:3" ht="15.75" thickTop="1" x14ac:dyDescent="0.25">
      <c r="B18" s="8"/>
      <c r="C18" s="111">
        <f>SUM(C14:C17)</f>
        <v>27600</v>
      </c>
    </row>
    <row r="20" spans="2:3" ht="15.75" thickBot="1" x14ac:dyDescent="0.3">
      <c r="B20" s="112" t="s">
        <v>241</v>
      </c>
      <c r="C20" s="113">
        <v>3550</v>
      </c>
    </row>
    <row r="21" spans="2:3" ht="15.75" thickTop="1" x14ac:dyDescent="0.25"/>
    <row r="22" spans="2:3" x14ac:dyDescent="0.25">
      <c r="B22" s="8" t="s">
        <v>242</v>
      </c>
      <c r="C22" s="111">
        <f>C20+C18</f>
        <v>31150</v>
      </c>
    </row>
    <row r="25" spans="2:3" x14ac:dyDescent="0.25">
      <c r="B25" s="114" t="s">
        <v>243</v>
      </c>
    </row>
    <row r="26" spans="2:3" x14ac:dyDescent="0.25">
      <c r="B26" s="8" t="s">
        <v>237</v>
      </c>
      <c r="C26" s="111">
        <v>3314</v>
      </c>
    </row>
    <row r="27" spans="2:3" x14ac:dyDescent="0.25">
      <c r="B27" s="8" t="s">
        <v>244</v>
      </c>
      <c r="C27" s="111">
        <v>15248</v>
      </c>
    </row>
    <row r="28" spans="2:3" ht="15.75" thickBot="1" x14ac:dyDescent="0.3">
      <c r="B28" s="112" t="s">
        <v>240</v>
      </c>
      <c r="C28" s="113"/>
    </row>
    <row r="29" spans="2:3" ht="15.75" thickTop="1" x14ac:dyDescent="0.25">
      <c r="B29" s="8"/>
      <c r="C29" s="111">
        <f>SUM(C26:C28)</f>
        <v>18562</v>
      </c>
    </row>
    <row r="31" spans="2:3" ht="15.75" thickBot="1" x14ac:dyDescent="0.3">
      <c r="B31" s="112" t="s">
        <v>241</v>
      </c>
      <c r="C31" s="113">
        <v>3437</v>
      </c>
    </row>
    <row r="32" spans="2:3" ht="15.75" thickTop="1" x14ac:dyDescent="0.25"/>
    <row r="33" spans="2:3" x14ac:dyDescent="0.25">
      <c r="B33" s="8" t="s">
        <v>245</v>
      </c>
      <c r="C33" s="111">
        <f>C31+C29</f>
        <v>21999</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FB38E79B128E49AF5B13BB42F970AD" ma:contentTypeVersion="18" ma:contentTypeDescription="Create a new document." ma:contentTypeScope="" ma:versionID="1d44bb421a70e6ae2761a4feee3ef5a3">
  <xsd:schema xmlns:xsd="http://www.w3.org/2001/XMLSchema" xmlns:xs="http://www.w3.org/2001/XMLSchema" xmlns:p="http://schemas.microsoft.com/office/2006/metadata/properties" xmlns:ns2="4b0f6fe7-d6f0-42af-9b1b-4df6216ca730" xmlns:ns3="1041c7ee-f0f0-495c-bb34-5c812f72eec9" targetNamespace="http://schemas.microsoft.com/office/2006/metadata/properties" ma:root="true" ma:fieldsID="730a0cf3438cd48c106b8f26faeecd68" ns2:_="" ns3:_="">
    <xsd:import namespace="4b0f6fe7-d6f0-42af-9b1b-4df6216ca730"/>
    <xsd:import namespace="1041c7ee-f0f0-495c-bb34-5c812f72ee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0f6fe7-d6f0-42af-9b1b-4df6216ca7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3fbfe2a-1d12-4c87-bef1-097dbf035f5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41c7ee-f0f0-495c-bb34-5c812f72eec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0a1a990-550a-4fa5-a081-6c5697143989}" ma:internalName="TaxCatchAll" ma:showField="CatchAllData" ma:web="1041c7ee-f0f0-495c-bb34-5c812f72ee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41c7ee-f0f0-495c-bb34-5c812f72eec9" xsi:nil="true"/>
    <lcf76f155ced4ddcb4097134ff3c332f xmlns="4b0f6fe7-d6f0-42af-9b1b-4df6216ca73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A98E4D-C3F6-410B-8326-E2DB535CFA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0f6fe7-d6f0-42af-9b1b-4df6216ca730"/>
    <ds:schemaRef ds:uri="1041c7ee-f0f0-495c-bb34-5c812f72ee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DC8BF1-8965-49F5-8919-369D40F41CAC}">
  <ds:schemaRefs>
    <ds:schemaRef ds:uri="http://schemas.microsoft.com/office/2006/metadata/properties"/>
    <ds:schemaRef ds:uri="http://schemas.microsoft.com/office/infopath/2007/PartnerControls"/>
    <ds:schemaRef ds:uri="1041c7ee-f0f0-495c-bb34-5c812f72eec9"/>
    <ds:schemaRef ds:uri="4b0f6fe7-d6f0-42af-9b1b-4df6216ca730"/>
  </ds:schemaRefs>
</ds:datastoreItem>
</file>

<file path=customXml/itemProps3.xml><?xml version="1.0" encoding="utf-8"?>
<ds:datastoreItem xmlns:ds="http://schemas.openxmlformats.org/officeDocument/2006/customXml" ds:itemID="{2DB0B220-38E9-4A7A-89DF-15BCEF1A5D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Domestic Water Services Page</vt:lpstr>
      <vt:lpstr>Agreement</vt:lpstr>
      <vt:lpstr>Tap Calculator</vt:lpstr>
      <vt:lpstr>Other Areas Page</vt:lpstr>
      <vt:lpstr>SDC Approach</vt:lpstr>
      <vt:lpstr>Monthly Cost Compare</vt:lpstr>
      <vt:lpstr>Tap Fee Cost Compare</vt:lpstr>
      <vt:lpstr>Agreement!Print_Area</vt:lpstr>
      <vt:lpstr>'SDC Approach'!Print_Area</vt:lpstr>
      <vt:lpstr>'Tap Calculator'!Print_Area</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Klint</dc:creator>
  <cp:keywords/>
  <dc:description/>
  <cp:lastModifiedBy>Brent Brouillard</cp:lastModifiedBy>
  <cp:revision/>
  <cp:lastPrinted>2022-07-13T13:24:35Z</cp:lastPrinted>
  <dcterms:created xsi:type="dcterms:W3CDTF">2017-03-07T15:18:04Z</dcterms:created>
  <dcterms:modified xsi:type="dcterms:W3CDTF">2024-07-18T16:19:42Z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0x01010075FB38E79B128E49AF5B13BB42F970AD</vt:lpwstr>
  </property>
  <property fmtid="{D5CDD505-2E9C-101B-9397-08002B2CF9AE}" pid="3" name="Order">
    <vt:r8>14400</vt:r8>
  </property>
  <property fmtid="{D5CDD505-2E9C-101B-9397-08002B2CF9AE}" pid="4" name="MediaServiceImageTags">
    <vt:lpwstr/>
  </property>
</Properties>
</file>